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firstSheet="2" activeTab="2"/>
  </bookViews>
  <sheets>
    <sheet name="Quantities" sheetId="1" state="hidden" r:id="rId1"/>
    <sheet name="Estimate" sheetId="2" state="hidden" r:id="rId2"/>
    <sheet name="BidForm" sheetId="3" r:id="rId3"/>
    <sheet name="Bid Tab" sheetId="4" state="hidden" r:id="rId4"/>
    <sheet name="Reference" sheetId="5" state="hidden" r:id="rId5"/>
  </sheets>
  <definedNames>
    <definedName name="_xlnm.Print_Titles" localSheetId="3">'Bid Tab'!$10:$11</definedName>
  </definedNames>
  <calcPr fullCalcOnLoad="1"/>
</workbook>
</file>

<file path=xl/sharedStrings.xml><?xml version="1.0" encoding="utf-8"?>
<sst xmlns="http://schemas.openxmlformats.org/spreadsheetml/2006/main" count="1624" uniqueCount="182">
  <si>
    <t>ENGINEER'S ESTIMATE</t>
  </si>
  <si>
    <t>Ref. #</t>
  </si>
  <si>
    <t>Item</t>
  </si>
  <si>
    <t>Unit</t>
  </si>
  <si>
    <t>Description</t>
  </si>
  <si>
    <t>Unit Price</t>
  </si>
  <si>
    <t>Total Price</t>
  </si>
  <si>
    <t>L.S.</t>
  </si>
  <si>
    <t>Maintaining Traffic</t>
  </si>
  <si>
    <t>Mobilization</t>
  </si>
  <si>
    <t>Contract Performance &amp; Payment Bond</t>
  </si>
  <si>
    <t>Gal</t>
  </si>
  <si>
    <t>C.Y.</t>
  </si>
  <si>
    <t>Henry County Engineer</t>
  </si>
  <si>
    <t>Spec.</t>
  </si>
  <si>
    <t>EA</t>
  </si>
  <si>
    <t>Project 1</t>
  </si>
  <si>
    <t>Drives</t>
  </si>
  <si>
    <t>Berm</t>
  </si>
  <si>
    <t>Pavement Width</t>
  </si>
  <si>
    <t>Pavement Length</t>
  </si>
  <si>
    <t>Intermediate Course</t>
  </si>
  <si>
    <t>Surface Course</t>
  </si>
  <si>
    <t>Radii</t>
  </si>
  <si>
    <t>Name</t>
  </si>
  <si>
    <t xml:space="preserve">Pavement Width </t>
  </si>
  <si>
    <t>Area (Sq Ft)</t>
  </si>
  <si>
    <t>inches</t>
  </si>
  <si>
    <t>Will Automatically Fill In</t>
  </si>
  <si>
    <t>feet</t>
  </si>
  <si>
    <t>Subgrade Compaction</t>
  </si>
  <si>
    <t>Chip Seal</t>
  </si>
  <si>
    <t>To:</t>
  </si>
  <si>
    <t>Board of Trustees</t>
  </si>
  <si>
    <t>Henry County, Ohio</t>
  </si>
  <si>
    <t>ROAD BIDDING BLANK</t>
  </si>
  <si>
    <t xml:space="preserve">Quantity </t>
  </si>
  <si>
    <t>Paving</t>
  </si>
  <si>
    <t>Paving-Widening</t>
  </si>
  <si>
    <t>Double Chip Seal</t>
  </si>
  <si>
    <t>Additional Paved Area</t>
  </si>
  <si>
    <t>Widening Depth</t>
  </si>
  <si>
    <t>Sq Ft</t>
  </si>
  <si>
    <t>Feet</t>
  </si>
  <si>
    <t>Void</t>
  </si>
  <si>
    <t>Berm (Per Side)</t>
  </si>
  <si>
    <t>All Pavement</t>
  </si>
  <si>
    <t>Radius</t>
  </si>
  <si>
    <t>LxW</t>
  </si>
  <si>
    <t>Berm Depth</t>
  </si>
  <si>
    <t>Volume Cubic Yd.</t>
  </si>
  <si>
    <t xml:space="preserve">Pavement Length </t>
  </si>
  <si>
    <t>Const Jts</t>
  </si>
  <si>
    <t>Add Pave Area</t>
  </si>
  <si>
    <t>Inter. Course</t>
  </si>
  <si>
    <t>Surf. Course</t>
  </si>
  <si>
    <t>Pavement Width (total)</t>
  </si>
  <si>
    <t xml:space="preserve">Widening </t>
  </si>
  <si>
    <t>Stone</t>
  </si>
  <si>
    <t>Fog Seal</t>
  </si>
  <si>
    <t>Stone Number</t>
  </si>
  <si>
    <t>8 or 9</t>
  </si>
  <si>
    <t xml:space="preserve">Emulsion Rate </t>
  </si>
  <si>
    <t>~0.4 Gallons/SY</t>
  </si>
  <si>
    <t>Emulsion (gallons)</t>
  </si>
  <si>
    <t>Fog Seal Rate</t>
  </si>
  <si>
    <t>Ussually 0.1-0.15 Gallons/SY</t>
  </si>
  <si>
    <t>Vol CY or Gal</t>
  </si>
  <si>
    <t>Volume CY</t>
  </si>
  <si>
    <t>Stone #</t>
  </si>
  <si>
    <t>Stone Lbs/SY</t>
  </si>
  <si>
    <t>Emulsion Rate (1st)</t>
  </si>
  <si>
    <t>Stone Number (1st)</t>
  </si>
  <si>
    <t>Stone (2nd)</t>
  </si>
  <si>
    <t>Emulsion Rate (2st)</t>
  </si>
  <si>
    <t>Stone Number (2st)</t>
  </si>
  <si>
    <t>Stone (1st)</t>
  </si>
  <si>
    <t>Stone 1st Lbs/SY</t>
  </si>
  <si>
    <t xml:space="preserve">Emulsion 1st </t>
  </si>
  <si>
    <t>Stone # 1st</t>
  </si>
  <si>
    <t>Stone 2nd Lbs/SY</t>
  </si>
  <si>
    <t>Emulsion 2nd</t>
  </si>
  <si>
    <t>Stone # 2nd</t>
  </si>
  <si>
    <t>Bituminous Tack Coat applied at 0.05 gallons per square yard</t>
  </si>
  <si>
    <t xml:space="preserve">Stabilized crushed aggregate berm in place and compacted at the average depth of </t>
  </si>
  <si>
    <t xml:space="preserve">Type of Surface </t>
  </si>
  <si>
    <t>Quantity</t>
  </si>
  <si>
    <t xml:space="preserve"> inches</t>
  </si>
  <si>
    <t>Tack 1st</t>
  </si>
  <si>
    <t>Tack 2nd</t>
  </si>
  <si>
    <t>Widen Width Per Side</t>
  </si>
  <si>
    <t>Mail Box Relocates</t>
  </si>
  <si>
    <t>Remove &amp; Relocate Mailbox/Paperbox</t>
  </si>
  <si>
    <t>CY</t>
  </si>
  <si>
    <t>Excavation (</t>
  </si>
  <si>
    <t>Instructions</t>
  </si>
  <si>
    <t>Widening Instructions</t>
  </si>
  <si>
    <t xml:space="preserve"> and Mailbox Turnout)</t>
  </si>
  <si>
    <t>SY</t>
  </si>
  <si>
    <t>Bituminous Aggregate Base, (</t>
  </si>
  <si>
    <t>Widening Width (total)</t>
  </si>
  <si>
    <t>Subgrade Compact</t>
  </si>
  <si>
    <t>Widen Instructions</t>
  </si>
  <si>
    <t>I.E. ' Each Side, West Side</t>
  </si>
  <si>
    <t>" average compacted depth, includes 407 tack coat on vertical face)</t>
  </si>
  <si>
    <t xml:space="preserve"> gallons per square yard</t>
  </si>
  <si>
    <t xml:space="preserve"> lbs per square yard</t>
  </si>
  <si>
    <t xml:space="preserve"> (washed), applied and compacted at </t>
  </si>
  <si>
    <t xml:space="preserve">Seal Coat, aggregate No. </t>
  </si>
  <si>
    <t>Fog Seal, SS-1H Dilute 50/50, Applied at 0.10-0.15 gal per square yard</t>
  </si>
  <si>
    <t xml:space="preserve">Seal coat, bituminous material (MWS 90) applied at </t>
  </si>
  <si>
    <t xml:space="preserve">First Seal Coat, aggregate No. </t>
  </si>
  <si>
    <t xml:space="preserve">First Seal Coat, bituminous material (MWS 90) applied at </t>
  </si>
  <si>
    <t xml:space="preserve">Second Seal Coat, bituminous material (MWS 90) applied at </t>
  </si>
  <si>
    <t xml:space="preserve">Second Seal Coat, aggregate No. </t>
  </si>
  <si>
    <t>~0.35 Gallons/SY</t>
  </si>
  <si>
    <t xml:space="preserve">Length </t>
  </si>
  <si>
    <t>Width</t>
  </si>
  <si>
    <t xml:space="preserve">Length:  </t>
  </si>
  <si>
    <t xml:space="preserve">Width:  </t>
  </si>
  <si>
    <t xml:space="preserve"> Mile(s)</t>
  </si>
  <si>
    <t xml:space="preserve"> Feet or </t>
  </si>
  <si>
    <t xml:space="preserve"> Feet     </t>
  </si>
  <si>
    <t xml:space="preserve">(Approx. </t>
  </si>
  <si>
    <t xml:space="preserve"> S.Y. including radius and driveway work)</t>
  </si>
  <si>
    <t>Lbs/SY (Typ. 24)</t>
  </si>
  <si>
    <t>$ Cost</t>
  </si>
  <si>
    <t>$ Alternate</t>
  </si>
  <si>
    <t>Final Cost</t>
  </si>
  <si>
    <t>Estimate Total</t>
  </si>
  <si>
    <t xml:space="preserve">Type B Smooth Seal Asphalt PG76-22, spread and compacted at the average depth of </t>
  </si>
  <si>
    <t>Rubberized Latex Tack Coat (0.08 Gal./S.Y.)</t>
  </si>
  <si>
    <t>Tack Smooth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</si>
  <si>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</si>
  <si>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</si>
  <si>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</si>
  <si>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</si>
  <si>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</si>
  <si>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</si>
  <si>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</si>
  <si>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</si>
  <si>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Township Project Name</t>
  </si>
  <si>
    <t>Date</t>
  </si>
  <si>
    <t>Entire Estimate Total</t>
  </si>
  <si>
    <t>Unit Cost</t>
  </si>
  <si>
    <t>$ ____________</t>
  </si>
  <si>
    <t>$ ______________</t>
  </si>
  <si>
    <t>Total Bid</t>
  </si>
  <si>
    <t>Total Entire Bid</t>
  </si>
  <si>
    <t>Bid Tab</t>
  </si>
  <si>
    <t>Engineer's Estimate</t>
  </si>
  <si>
    <t>Contractor 1</t>
  </si>
  <si>
    <t>Contractor 2</t>
  </si>
  <si>
    <t>Contractor 3</t>
  </si>
  <si>
    <t>Contractor 4</t>
  </si>
  <si>
    <t>Contractor 5</t>
  </si>
  <si>
    <t>Contractor 6</t>
  </si>
  <si>
    <t>Program created by Patrick McColley</t>
  </si>
  <si>
    <t xml:space="preserve">Asphalt intermediate course PG 64-22, Type 1 (823) applied, spread and compacted at the average depth of </t>
  </si>
  <si>
    <t xml:space="preserve">Asphalt concrete surface course PG 64-22, Type 1 (823) applied, spread and compacted at the average depth of </t>
  </si>
  <si>
    <t>(424, 823, 448)</t>
  </si>
  <si>
    <t>S.Y.</t>
  </si>
  <si>
    <t xml:space="preserve"> (20' length including radius)</t>
  </si>
  <si>
    <t>Road 14 b/ Road M- Road Z</t>
  </si>
  <si>
    <t>HC Engineer 2022 Road Improvement Project</t>
  </si>
  <si>
    <t>12.16.21</t>
  </si>
  <si>
    <t>Each</t>
  </si>
  <si>
    <t>Water Valve Adjusted to Grade</t>
  </si>
  <si>
    <t>Road 17D b/ 424- Road L</t>
  </si>
  <si>
    <t>Road M3 b/ Road 14- Road Z</t>
  </si>
  <si>
    <t>Road Z b/ Road 14- Road M3</t>
  </si>
  <si>
    <t>Manhole Adjusted to Grade</t>
  </si>
  <si>
    <t>Road S b/ Road 10- Road 13</t>
  </si>
  <si>
    <t>Road 18 b/ SR 18- Road F</t>
  </si>
  <si>
    <t>Pavement Planing</t>
  </si>
  <si>
    <t xml:space="preserve"> 20' including radius)</t>
  </si>
  <si>
    <t>Pavement Planing (</t>
  </si>
  <si>
    <t>, 2 Feet Each Side</t>
  </si>
  <si>
    <t>Road 12 b/ Road K- Road O (Old US 6)</t>
  </si>
  <si>
    <t>Road J b/ Road 15- Road 16</t>
  </si>
  <si>
    <t>March 8th, 2022 at 9:30 AM</t>
  </si>
  <si>
    <t>Board of Commissioners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</si>
</sst>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[$-409]h:mm:ss\ AM/PM"/>
    <numFmt numFmtId="167" formatCode="0.000"/>
    <numFmt numFmtId="168" formatCode="&quot;$&quot;#,##0.00"/>
    <numFmt numFmtId="169" formatCode="[$-409]dddd\,\ mmmm\ dd\,\ yyyy"/>
    <numFmt numFmtId="170" formatCode="#,##0.0"/>
    <numFmt numFmtId="171" formatCode="#,##0.00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0"/>
    <numFmt numFmtId="176" formatCode="0.00000"/>
    <numFmt numFmtId="177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azette"/>
      <family val="0"/>
    </font>
    <font>
      <u val="single"/>
      <sz val="10"/>
      <name val="Gazette"/>
      <family val="0"/>
    </font>
    <font>
      <b/>
      <sz val="10"/>
      <name val="Gazette"/>
      <family val="0"/>
    </font>
    <font>
      <b/>
      <sz val="10"/>
      <name val="Gaz"/>
      <family val="0"/>
    </font>
    <font>
      <b/>
      <u val="single"/>
      <sz val="12"/>
      <name val="Arial"/>
      <family val="2"/>
    </font>
    <font>
      <b/>
      <u val="single"/>
      <sz val="14"/>
      <name val="Gazette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Dashed"/>
      <top style="thin"/>
      <bottom style="medium"/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mediumDashed"/>
      <right>
        <color indexed="63"/>
      </right>
      <top style="thin"/>
      <bottom style="double"/>
    </border>
    <border>
      <left>
        <color indexed="63"/>
      </left>
      <right style="mediumDashed"/>
      <top style="thin"/>
      <bottom style="double"/>
    </border>
    <border>
      <left style="mediumDashed"/>
      <right style="thin"/>
      <top style="thin"/>
      <bottom style="double"/>
    </border>
    <border>
      <left style="thin"/>
      <right style="mediumDashed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 style="mediumDashed"/>
      <right style="thin"/>
      <top style="medium"/>
      <bottom style="thin"/>
    </border>
    <border>
      <left style="thin"/>
      <right style="mediumDashed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3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0" fillId="33" borderId="0" xfId="0" applyFont="1" applyFill="1" applyAlignment="1">
      <alignment/>
    </xf>
    <xf numFmtId="172" fontId="0" fillId="0" borderId="0" xfId="42" applyNumberFormat="1" applyFont="1" applyAlignment="1">
      <alignment/>
    </xf>
    <xf numFmtId="44" fontId="0" fillId="32" borderId="0" xfId="44" applyFont="1" applyFill="1" applyAlignment="1" applyProtection="1">
      <alignment/>
      <protection locked="0"/>
    </xf>
    <xf numFmtId="44" fontId="4" fillId="32" borderId="0" xfId="44" applyFont="1" applyFill="1" applyBorder="1" applyAlignment="1" applyProtection="1">
      <alignment/>
      <protection locked="0"/>
    </xf>
    <xf numFmtId="44" fontId="4" fillId="32" borderId="0" xfId="44" applyFont="1" applyFill="1" applyBorder="1" applyAlignment="1" applyProtection="1">
      <alignment wrapText="1"/>
      <protection locked="0"/>
    </xf>
    <xf numFmtId="44" fontId="4" fillId="32" borderId="12" xfId="44" applyFont="1" applyFill="1" applyBorder="1" applyAlignment="1" applyProtection="1">
      <alignment/>
      <protection locked="0"/>
    </xf>
    <xf numFmtId="44" fontId="4" fillId="32" borderId="11" xfId="44" applyFont="1" applyFill="1" applyBorder="1" applyAlignment="1" applyProtection="1">
      <alignment wrapText="1"/>
      <protection locked="0"/>
    </xf>
    <xf numFmtId="44" fontId="4" fillId="32" borderId="11" xfId="4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4" fontId="4" fillId="0" borderId="0" xfId="44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44" fontId="1" fillId="0" borderId="0" xfId="44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7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173" fontId="0" fillId="0" borderId="0" xfId="42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13" fillId="0" borderId="18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44" fontId="0" fillId="0" borderId="11" xfId="44" applyFont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32" borderId="11" xfId="44" applyFont="1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44" fontId="4" fillId="0" borderId="19" xfId="44" applyFont="1" applyFill="1" applyBorder="1" applyAlignment="1" applyProtection="1">
      <alignment wrapText="1"/>
      <protection/>
    </xf>
    <xf numFmtId="44" fontId="4" fillId="0" borderId="20" xfId="44" applyFont="1" applyFill="1" applyBorder="1" applyAlignment="1" applyProtection="1">
      <alignment wrapText="1"/>
      <protection/>
    </xf>
    <xf numFmtId="44" fontId="4" fillId="0" borderId="21" xfId="44" applyFont="1" applyFill="1" applyBorder="1" applyAlignment="1" applyProtection="1">
      <alignment wrapText="1"/>
      <protection/>
    </xf>
    <xf numFmtId="44" fontId="4" fillId="0" borderId="22" xfId="44" applyFont="1" applyFill="1" applyBorder="1" applyAlignment="1" applyProtection="1">
      <alignment wrapText="1"/>
      <protection/>
    </xf>
    <xf numFmtId="44" fontId="4" fillId="0" borderId="23" xfId="44" applyFont="1" applyFill="1" applyBorder="1" applyAlignment="1" applyProtection="1">
      <alignment wrapText="1"/>
      <protection/>
    </xf>
    <xf numFmtId="44" fontId="4" fillId="0" borderId="24" xfId="44" applyFont="1" applyFill="1" applyBorder="1" applyAlignment="1" applyProtection="1">
      <alignment wrapText="1"/>
      <protection/>
    </xf>
    <xf numFmtId="4" fontId="5" fillId="0" borderId="25" xfId="0" applyNumberFormat="1" applyFont="1" applyFill="1" applyBorder="1" applyAlignment="1" applyProtection="1">
      <alignment horizontal="center"/>
      <protection/>
    </xf>
    <xf numFmtId="4" fontId="5" fillId="0" borderId="26" xfId="0" applyNumberFormat="1" applyFont="1" applyFill="1" applyBorder="1" applyAlignment="1" applyProtection="1">
      <alignment horizontal="center"/>
      <protection/>
    </xf>
    <xf numFmtId="4" fontId="5" fillId="0" borderId="27" xfId="0" applyNumberFormat="1" applyFont="1" applyFill="1" applyBorder="1" applyAlignment="1" applyProtection="1">
      <alignment horizontal="center"/>
      <protection/>
    </xf>
    <xf numFmtId="4" fontId="5" fillId="0" borderId="28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 wrapText="1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44" fontId="4" fillId="0" borderId="30" xfId="44" applyFont="1" applyFill="1" applyBorder="1" applyAlignment="1" applyProtection="1">
      <alignment wrapText="1"/>
      <protection/>
    </xf>
    <xf numFmtId="44" fontId="4" fillId="0" borderId="31" xfId="44" applyFont="1" applyFill="1" applyBorder="1" applyAlignment="1" applyProtection="1">
      <alignment wrapText="1"/>
      <protection/>
    </xf>
    <xf numFmtId="0" fontId="4" fillId="0" borderId="3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44" fontId="4" fillId="0" borderId="18" xfId="44" applyFont="1" applyFill="1" applyBorder="1" applyAlignment="1" applyProtection="1">
      <alignment wrapText="1"/>
      <protection/>
    </xf>
    <xf numFmtId="44" fontId="4" fillId="0" borderId="33" xfId="44" applyFont="1" applyFill="1" applyBorder="1" applyAlignment="1" applyProtection="1">
      <alignment wrapText="1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1" fillId="0" borderId="35" xfId="0" applyNumberFormat="1" applyFont="1" applyFill="1" applyBorder="1" applyAlignment="1" applyProtection="1">
      <alignment horizontal="right"/>
      <protection/>
    </xf>
    <xf numFmtId="4" fontId="1" fillId="0" borderId="35" xfId="0" applyNumberFormat="1" applyFont="1" applyFill="1" applyBorder="1" applyAlignment="1" applyProtection="1">
      <alignment/>
      <protection/>
    </xf>
    <xf numFmtId="44" fontId="1" fillId="0" borderId="36" xfId="44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left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5" fillId="0" borderId="39" xfId="0" applyNumberFormat="1" applyFont="1" applyFill="1" applyBorder="1" applyAlignment="1" applyProtection="1">
      <alignment horizontal="center"/>
      <protection/>
    </xf>
    <xf numFmtId="0" fontId="5" fillId="0" borderId="40" xfId="0" applyNumberFormat="1" applyFont="1" applyFill="1" applyBorder="1" applyAlignment="1" applyProtection="1">
      <alignment horizontal="center"/>
      <protection/>
    </xf>
    <xf numFmtId="0" fontId="5" fillId="0" borderId="40" xfId="0" applyNumberFormat="1" applyFont="1" applyFill="1" applyBorder="1" applyAlignment="1" applyProtection="1">
      <alignment/>
      <protection/>
    </xf>
    <xf numFmtId="4" fontId="5" fillId="0" borderId="40" xfId="0" applyNumberFormat="1" applyFont="1" applyFill="1" applyBorder="1" applyAlignment="1" applyProtection="1">
      <alignment horizontal="center"/>
      <protection/>
    </xf>
    <xf numFmtId="4" fontId="5" fillId="0" borderId="4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4" fontId="4" fillId="0" borderId="42" xfId="44" applyFont="1" applyFill="1" applyBorder="1" applyAlignment="1" applyProtection="1">
      <alignment wrapText="1"/>
      <protection locked="0"/>
    </xf>
    <xf numFmtId="44" fontId="4" fillId="0" borderId="43" xfId="44" applyFont="1" applyFill="1" applyBorder="1" applyAlignment="1" applyProtection="1">
      <alignment wrapText="1"/>
      <protection locked="0"/>
    </xf>
    <xf numFmtId="44" fontId="0" fillId="0" borderId="44" xfId="44" applyFont="1" applyBorder="1" applyAlignment="1" applyProtection="1">
      <alignment/>
      <protection locked="0"/>
    </xf>
    <xf numFmtId="44" fontId="4" fillId="0" borderId="45" xfId="44" applyFont="1" applyFill="1" applyBorder="1" applyAlignment="1" applyProtection="1">
      <alignment wrapText="1"/>
      <protection locked="0"/>
    </xf>
    <xf numFmtId="44" fontId="4" fillId="0" borderId="46" xfId="44" applyFont="1" applyFill="1" applyBorder="1" applyAlignment="1" applyProtection="1">
      <alignment wrapText="1"/>
      <protection locked="0"/>
    </xf>
    <xf numFmtId="44" fontId="0" fillId="0" borderId="47" xfId="44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 quotePrefix="1">
      <alignment wrapText="1"/>
      <protection/>
    </xf>
    <xf numFmtId="0" fontId="12" fillId="0" borderId="0" xfId="0" applyFont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Fill="1" applyBorder="1" applyAlignment="1" applyProtection="1">
      <alignment/>
      <protection/>
    </xf>
    <xf numFmtId="4" fontId="0" fillId="0" borderId="48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6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center"/>
      <protection locked="0"/>
    </xf>
    <xf numFmtId="0" fontId="6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44" fontId="10" fillId="0" borderId="0" xfId="44" applyFon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32" borderId="0" xfId="0" applyNumberFormat="1" applyFont="1" applyFill="1" applyBorder="1" applyAlignment="1" applyProtection="1">
      <alignment/>
      <protection locked="0"/>
    </xf>
    <xf numFmtId="4" fontId="4" fillId="32" borderId="0" xfId="0" applyNumberFormat="1" applyFont="1" applyFill="1" applyBorder="1" applyAlignment="1" applyProtection="1">
      <alignment horizontal="right"/>
      <protection locked="0"/>
    </xf>
    <xf numFmtId="168" fontId="11" fillId="0" borderId="49" xfId="0" applyNumberFormat="1" applyFont="1" applyFill="1" applyBorder="1" applyAlignment="1" applyProtection="1">
      <alignment/>
      <protection/>
    </xf>
    <xf numFmtId="168" fontId="0" fillId="0" borderId="50" xfId="0" applyNumberFormat="1" applyBorder="1" applyAlignment="1">
      <alignment/>
    </xf>
    <xf numFmtId="4" fontId="4" fillId="0" borderId="38" xfId="0" applyNumberFormat="1" applyFont="1" applyFill="1" applyBorder="1" applyAlignment="1" applyProtection="1">
      <alignment horizontal="center"/>
      <protection/>
    </xf>
    <xf numFmtId="4" fontId="4" fillId="0" borderId="51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Fill="1" applyBorder="1" applyAlignment="1" applyProtection="1">
      <alignment horizontal="center"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center"/>
      <protection/>
    </xf>
    <xf numFmtId="0" fontId="4" fillId="0" borderId="56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2"/>
  <sheetViews>
    <sheetView zoomScalePageLayoutView="0" workbookViewId="0" topLeftCell="A190">
      <pane xSplit="4" topLeftCell="E1" activePane="topRight" state="frozen"/>
      <selection pane="topLeft" activeCell="A1" sqref="A1"/>
      <selection pane="topRight" activeCell="C222" sqref="C222"/>
    </sheetView>
  </sheetViews>
  <sheetFormatPr defaultColWidth="9.140625" defaultRowHeight="12.75"/>
  <cols>
    <col min="1" max="1" width="23.8515625" style="0" customWidth="1"/>
    <col min="2" max="2" width="23.8515625" style="0" hidden="1" customWidth="1"/>
    <col min="3" max="3" width="25.00390625" style="0" customWidth="1"/>
    <col min="4" max="4" width="23.57421875" style="0" customWidth="1"/>
    <col min="5" max="6" width="10.140625" style="0" customWidth="1"/>
    <col min="7" max="7" width="10.140625" style="0" hidden="1" customWidth="1"/>
    <col min="8" max="8" width="12.00390625" style="0" hidden="1" customWidth="1"/>
    <col min="9" max="9" width="13.28125" style="0" hidden="1" customWidth="1"/>
    <col min="10" max="10" width="18.57421875" style="0" hidden="1" customWidth="1"/>
    <col min="11" max="11" width="14.140625" style="0" hidden="1" customWidth="1"/>
    <col min="12" max="12" width="12.00390625" style="0" hidden="1" customWidth="1"/>
    <col min="13" max="14" width="16.00390625" style="0" hidden="1" customWidth="1"/>
    <col min="15" max="15" width="15.00390625" style="0" hidden="1" customWidth="1"/>
    <col min="16" max="16" width="12.8515625" style="0" hidden="1" customWidth="1"/>
    <col min="17" max="17" width="16.7109375" style="0" hidden="1" customWidth="1"/>
    <col min="18" max="18" width="11.140625" style="0" hidden="1" customWidth="1"/>
    <col min="19" max="19" width="12.8515625" style="0" hidden="1" customWidth="1"/>
    <col min="20" max="21" width="9.140625" style="0" hidden="1" customWidth="1"/>
    <col min="23" max="23" width="10.28125" style="0" customWidth="1"/>
    <col min="25" max="25" width="51.421875" style="0" hidden="1" customWidth="1"/>
    <col min="26" max="26" width="8.7109375" style="0" hidden="1" customWidth="1"/>
    <col min="27" max="27" width="20.7109375" style="0" hidden="1" customWidth="1"/>
    <col min="28" max="29" width="9.140625" style="0" hidden="1" customWidth="1"/>
    <col min="30" max="30" width="30.28125" style="0" hidden="1" customWidth="1"/>
    <col min="31" max="40" width="9.140625" style="0" hidden="1" customWidth="1"/>
    <col min="41" max="41" width="10.7109375" style="0" customWidth="1"/>
    <col min="42" max="43" width="11.7109375" style="0" customWidth="1"/>
  </cols>
  <sheetData>
    <row r="1" spans="1:19" ht="12.75">
      <c r="A1" s="2" t="s">
        <v>16</v>
      </c>
      <c r="B1" s="3"/>
      <c r="C1" s="3" t="str">
        <f>"1 = Paving    2 = Paving-Widening     3= Chip Seal   4=Double Chip Seal"</f>
        <v>1 = Paving    2 = Paving-Widening     3= Chip Seal   4=Double Chip Seal</v>
      </c>
      <c r="I1">
        <v>1</v>
      </c>
      <c r="J1">
        <v>1.5</v>
      </c>
      <c r="L1">
        <v>2</v>
      </c>
      <c r="M1">
        <v>2.5</v>
      </c>
      <c r="O1">
        <v>3</v>
      </c>
      <c r="P1">
        <v>3.5</v>
      </c>
      <c r="R1">
        <v>4</v>
      </c>
      <c r="S1">
        <v>4.5</v>
      </c>
    </row>
    <row r="2" spans="1:19" ht="12.75">
      <c r="A2" s="6">
        <v>1</v>
      </c>
      <c r="B2" s="20">
        <f>A2+0.2</f>
        <v>1.2</v>
      </c>
      <c r="C2">
        <f>A2+0.5</f>
        <v>1.5</v>
      </c>
      <c r="D2">
        <f>A2+0.7</f>
        <v>1.7</v>
      </c>
      <c r="E2">
        <f>A2+0.8</f>
        <v>1.8</v>
      </c>
      <c r="F2">
        <f>A2+0.9</f>
        <v>1.9</v>
      </c>
      <c r="H2" s="7"/>
      <c r="I2" s="8" t="s">
        <v>37</v>
      </c>
      <c r="J2" s="9"/>
      <c r="K2" s="11"/>
      <c r="L2" t="s">
        <v>38</v>
      </c>
      <c r="N2" s="7"/>
      <c r="O2" s="8" t="s">
        <v>31</v>
      </c>
      <c r="P2" s="9"/>
      <c r="Q2" s="7"/>
      <c r="R2" s="8" t="s">
        <v>39</v>
      </c>
      <c r="S2" s="9"/>
    </row>
    <row r="3" spans="1:43" ht="12.75">
      <c r="A3" s="2" t="str">
        <f>LOOKUP(A2,Reference!$A$2:$S$2,Reference!A$3:S$3)</f>
        <v>Paving</v>
      </c>
      <c r="B3" s="2"/>
      <c r="H3" s="7"/>
      <c r="I3" s="10" t="s">
        <v>28</v>
      </c>
      <c r="J3" s="9"/>
      <c r="K3" s="11"/>
      <c r="L3" s="10" t="s">
        <v>28</v>
      </c>
      <c r="M3" s="11"/>
      <c r="N3" s="7"/>
      <c r="O3" s="10" t="s">
        <v>28</v>
      </c>
      <c r="P3" s="9"/>
      <c r="Q3" s="7"/>
      <c r="R3" s="10" t="s">
        <v>28</v>
      </c>
      <c r="S3" s="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4" ht="12.75">
      <c r="A4" s="3" t="str">
        <f>LOOKUP(A2,Reference!$A$2:$X$2,Reference!A$4:X$4)</f>
        <v>Name</v>
      </c>
      <c r="B4" s="3"/>
      <c r="C4" s="4" t="s">
        <v>163</v>
      </c>
      <c r="D4" t="str">
        <f>"1st Length"</f>
        <v>1st Length</v>
      </c>
      <c r="E4" t="str">
        <f>"2nd Length"</f>
        <v>2nd Length</v>
      </c>
      <c r="F4" t="str">
        <f>"3rd Length"</f>
        <v>3rd Length</v>
      </c>
      <c r="G4" t="str">
        <f>"4th Length"</f>
        <v>4th Length</v>
      </c>
      <c r="H4" s="7"/>
      <c r="I4" s="11" t="s">
        <v>26</v>
      </c>
      <c r="J4" s="9" t="s">
        <v>50</v>
      </c>
      <c r="K4" s="11"/>
      <c r="L4" s="11" t="s">
        <v>26</v>
      </c>
      <c r="M4" s="8" t="s">
        <v>68</v>
      </c>
      <c r="N4" s="7"/>
      <c r="O4" s="11" t="s">
        <v>26</v>
      </c>
      <c r="P4" s="19" t="s">
        <v>67</v>
      </c>
      <c r="Q4" s="7"/>
      <c r="R4" s="11" t="s">
        <v>26</v>
      </c>
      <c r="S4" s="19" t="s">
        <v>67</v>
      </c>
      <c r="V4" s="23" t="s">
        <v>2</v>
      </c>
      <c r="W4" s="24" t="s">
        <v>86</v>
      </c>
      <c r="X4" s="24" t="s">
        <v>3</v>
      </c>
      <c r="Y4" s="24" t="s">
        <v>4</v>
      </c>
      <c r="Z4" s="21"/>
      <c r="AA4" s="22"/>
      <c r="AB4" s="22"/>
      <c r="AC4" s="22"/>
      <c r="AD4" s="22"/>
      <c r="AE4" s="1"/>
      <c r="AF4" s="1"/>
      <c r="AG4" s="1"/>
      <c r="AH4" s="1"/>
      <c r="AI4" s="1"/>
      <c r="AJ4" s="1"/>
      <c r="AK4" s="1"/>
      <c r="AL4" s="1"/>
      <c r="AM4" s="1"/>
      <c r="AN4" s="1"/>
      <c r="AO4" s="27" t="s">
        <v>126</v>
      </c>
      <c r="AP4" s="27" t="s">
        <v>127</v>
      </c>
      <c r="AQ4" s="27" t="s">
        <v>128</v>
      </c>
      <c r="AR4" s="27" t="s">
        <v>4</v>
      </c>
    </row>
    <row r="5" spans="1:44" ht="12.75">
      <c r="A5" s="3" t="str">
        <f>LOOKUP(A2,Reference!$A$2:$X$2,Reference!A$5:X$5)</f>
        <v>Radii</v>
      </c>
      <c r="B5" s="3"/>
      <c r="C5" s="5">
        <v>8</v>
      </c>
      <c r="D5" t="str">
        <f>LOOKUP(C2,Reference!$A$2:$X$2,Reference!A$5:X$5)</f>
        <v>@ 10 SY Each</v>
      </c>
      <c r="H5" s="12" t="s">
        <v>47</v>
      </c>
      <c r="I5" s="11">
        <f>IF(A2=1,10*C5*9,0)</f>
        <v>720</v>
      </c>
      <c r="J5" s="9"/>
      <c r="K5" s="12" t="s">
        <v>47</v>
      </c>
      <c r="L5">
        <f>IF(A2=2,10*C5*9,0)</f>
        <v>0</v>
      </c>
      <c r="N5" s="12" t="s">
        <v>47</v>
      </c>
      <c r="O5" s="11">
        <f>IF(A2=3,10*C5*9,0)</f>
        <v>0</v>
      </c>
      <c r="P5" s="9"/>
      <c r="Q5" s="12" t="s">
        <v>47</v>
      </c>
      <c r="R5" s="11">
        <f>IF(A2=4,10*C5*9,0)</f>
        <v>0</v>
      </c>
      <c r="S5" s="9"/>
      <c r="T5">
        <f>IF(W5&gt;0,1,0)</f>
        <v>1</v>
      </c>
      <c r="U5">
        <f>T5</f>
        <v>1</v>
      </c>
      <c r="V5" s="22">
        <f>LOOKUP(A2,Reference!$A$2:$X$2,Reference!$A$27:$X$27)</f>
        <v>407</v>
      </c>
      <c r="W5" s="22">
        <f>IF(A2=1,J14+J15,0)+IF(A2=2,L17,0)+IF(A2=3,P13,0)+IF(A2=4,S13,0)</f>
        <v>1375</v>
      </c>
      <c r="X5" s="22" t="str">
        <f>LOOKUP(B2,Reference!$A$2:$X$2,Reference!$A$27:$X$27)</f>
        <v>Gal</v>
      </c>
      <c r="Y5" s="22" t="str">
        <f>LOOKUP(C2,Reference!$A$2:$X$2,Reference!$A$27:X$27)</f>
        <v>Bituminous Tack Coat applied at 0.05 gallons per square yard</v>
      </c>
      <c r="Z5" s="22">
        <f>IF(A2=3,O13,0)+IF(A2=4,R13,0)</f>
        <v>0</v>
      </c>
      <c r="AA5" s="22">
        <f>LOOKUP(D2,Reference!$A$2:$X$2,Reference!$A$27:$X$27)</f>
        <v>0</v>
      </c>
      <c r="AB5" s="22"/>
      <c r="AC5" s="22"/>
      <c r="AD5" s="22"/>
      <c r="AE5" s="1">
        <f aca="true" t="shared" si="0" ref="AE5:AJ5">IF(V5=0,"",V5)</f>
        <v>407</v>
      </c>
      <c r="AF5" s="1">
        <f t="shared" si="0"/>
        <v>1375</v>
      </c>
      <c r="AG5" s="1" t="str">
        <f t="shared" si="0"/>
        <v>Gal</v>
      </c>
      <c r="AH5" s="1" t="str">
        <f t="shared" si="0"/>
        <v>Bituminous Tack Coat applied at 0.05 gallons per square yard</v>
      </c>
      <c r="AI5" s="1">
        <f t="shared" si="0"/>
      </c>
      <c r="AJ5" s="1">
        <f t="shared" si="0"/>
      </c>
      <c r="AK5" s="1">
        <f aca="true" t="shared" si="1" ref="AK5:AL20">IF(AB5=0,"",AB5)</f>
      </c>
      <c r="AL5" s="1">
        <f t="shared" si="1"/>
      </c>
      <c r="AM5" s="1">
        <f aca="true" t="shared" si="2" ref="AM5:AM20">IF(AD5=0,"",AD5)</f>
      </c>
      <c r="AN5" s="1"/>
      <c r="AO5" s="27">
        <f>LOOKUP(F2,Reference!A$2:X$2,Reference!$A$27:$X$27)</f>
        <v>2.1</v>
      </c>
      <c r="AP5" s="30"/>
      <c r="AQ5" s="27">
        <f>IF(AP5&gt;0,AP5,AO5)</f>
        <v>2.1</v>
      </c>
      <c r="AR5" s="1" t="str">
        <f>CONCATENATE(AH5,AI5,AJ5,AK5,AL5,AM5,AN5)</f>
        <v>Bituminous Tack Coat applied at 0.05 gallons per square yard</v>
      </c>
    </row>
    <row r="6" spans="1:44" ht="12.75">
      <c r="A6" s="3" t="str">
        <f>LOOKUP(A2,Reference!$A$2:$X$2,Reference!A$6:X$6)</f>
        <v>Drives</v>
      </c>
      <c r="B6" s="3"/>
      <c r="C6" s="5">
        <v>21</v>
      </c>
      <c r="D6" t="str">
        <f>LOOKUP(C2,Reference!$A$2:$X$2,Reference!A$6:X$6)</f>
        <v>@ 4 SY Each</v>
      </c>
      <c r="H6" s="12" t="s">
        <v>17</v>
      </c>
      <c r="I6" s="11">
        <f>IF(A2=1,4*C6*9,0)</f>
        <v>756</v>
      </c>
      <c r="J6" s="9"/>
      <c r="K6" s="12" t="s">
        <v>17</v>
      </c>
      <c r="L6">
        <f>IF(A2=2,4*C6*9,0)</f>
        <v>0</v>
      </c>
      <c r="N6" s="12" t="s">
        <v>17</v>
      </c>
      <c r="O6" s="11">
        <f>IF(A2=3,4*C6*9,0)</f>
        <v>0</v>
      </c>
      <c r="P6" s="9"/>
      <c r="Q6" s="12" t="s">
        <v>17</v>
      </c>
      <c r="R6" s="11">
        <f>IF(A2=4,4*C6*9,0)</f>
        <v>0</v>
      </c>
      <c r="S6" s="9"/>
      <c r="T6">
        <f>IF(W6&gt;0,U5+1,T5+0.00001)</f>
        <v>1.00001</v>
      </c>
      <c r="U6">
        <f>IF(T6&gt;U5+0.5,U5+1,U5)</f>
        <v>1</v>
      </c>
      <c r="V6" s="22">
        <f>LOOKUP(A2,Reference!$A$2:$X$2,Reference!$A$28:$X$28)</f>
        <v>823</v>
      </c>
      <c r="W6" s="22">
        <f>IF(A2=1,J12,0)+IF(A2=2,M15,0)+IF(A2=3,P12,0)+IF(A2=4,S15,0)</f>
        <v>0</v>
      </c>
      <c r="X6" s="22" t="str">
        <f>LOOKUP(B2,Reference!$A$2:$X$2,Reference!$A$28:$X$28)</f>
        <v>C.Y.</v>
      </c>
      <c r="Y6" s="22" t="str">
        <f>LOOKUP(C2,Reference!$A$2:$X$2,Reference!$A$28:$X$28)</f>
        <v>Asphalt intermediate course PG 64-22, Type 1 (823) applied, spread and compacted at the average depth of </v>
      </c>
      <c r="Z6" s="22">
        <f>IF(A2=1,C12,0)+IF(A2=2,C15,0)+IF(A2=3,O14,0)+IF(A2=4,R14,0)</f>
        <v>0</v>
      </c>
      <c r="AA6" s="22" t="str">
        <f>LOOKUP(D2,Reference!$A$2:$X$2,Reference!$A$28:$X$28)</f>
        <v> inches</v>
      </c>
      <c r="AB6" s="22">
        <f>IF(A2=3,O12,0)+IF(A2=4,R12,0)</f>
        <v>0</v>
      </c>
      <c r="AC6" s="22">
        <f>IF(A2=2,C19,0)</f>
        <v>0</v>
      </c>
      <c r="AD6" s="22">
        <f>LOOKUP(E2,Reference!$A$2:$X$2,Reference!$A$28:$X$28)</f>
        <v>0</v>
      </c>
      <c r="AE6" s="1">
        <f aca="true" t="shared" si="3" ref="AE6:AE20">IF(V6=0,"",V6)</f>
        <v>823</v>
      </c>
      <c r="AF6" s="1">
        <f aca="true" t="shared" si="4" ref="AF6:AF20">IF(W6=0,"",W6)</f>
      </c>
      <c r="AG6" s="1" t="str">
        <f aca="true" t="shared" si="5" ref="AG6:AG20">IF(X6=0,"",X6)</f>
        <v>C.Y.</v>
      </c>
      <c r="AH6" s="1" t="str">
        <f aca="true" t="shared" si="6" ref="AH6:AH20">IF(Y6=0,"",Y6)</f>
        <v>Asphalt intermediate course PG 64-22, Type 1 (823) applied, spread and compacted at the average depth of </v>
      </c>
      <c r="AI6" s="1">
        <f aca="true" t="shared" si="7" ref="AI6:AI20">IF(Z6=0,"",Z6)</f>
      </c>
      <c r="AJ6" s="1" t="str">
        <f aca="true" t="shared" si="8" ref="AJ6:AJ20">IF(AA6=0,"",AA6)</f>
        <v> inches</v>
      </c>
      <c r="AK6" s="1">
        <f t="shared" si="1"/>
      </c>
      <c r="AL6" s="1">
        <f t="shared" si="1"/>
      </c>
      <c r="AM6" s="1">
        <f t="shared" si="2"/>
      </c>
      <c r="AN6" s="1"/>
      <c r="AO6" s="27">
        <f>LOOKUP(F2,Reference!A$2:X$2,Reference!$A$28:$X$28)</f>
        <v>150</v>
      </c>
      <c r="AP6" s="30"/>
      <c r="AQ6" s="27">
        <f aca="true" t="shared" si="9" ref="AQ6:AQ20">IF(AP6&gt;0,AP6,AO6)</f>
        <v>150</v>
      </c>
      <c r="AR6" s="1" t="str">
        <f aca="true" t="shared" si="10" ref="AR6:AR20">CONCATENATE(AH6,AI6,AJ6,AK6,AL6,AM6,AN6)</f>
        <v>Asphalt intermediate course PG 64-22, Type 1 (823) applied, spread and compacted at the average depth of  inches</v>
      </c>
    </row>
    <row r="7" spans="1:44" ht="12.75">
      <c r="A7" s="3" t="str">
        <f>LOOKUP(A2,Reference!$A$2:$X$2,Reference!A$7:X$7)</f>
        <v>Berm (Per Side)</v>
      </c>
      <c r="B7" s="3"/>
      <c r="C7" s="5"/>
      <c r="D7" t="str">
        <f>LOOKUP(C2,Reference!$A$2:$X$2,Reference!A$7:X$7)</f>
        <v>inches</v>
      </c>
      <c r="H7" s="12" t="s">
        <v>18</v>
      </c>
      <c r="I7" s="11">
        <f>IF(A2=1,C7*2*C11/12,0)</f>
        <v>0</v>
      </c>
      <c r="J7" s="9">
        <f>MROUND(I7*C8/12*1/27+0.4,1)</f>
        <v>0</v>
      </c>
      <c r="K7" s="12" t="s">
        <v>18</v>
      </c>
      <c r="L7">
        <f>IF(A2=2,C7*2*C12/12,0)</f>
        <v>0</v>
      </c>
      <c r="M7">
        <f>MROUND(L7*C8/12*1/27+0.4,1)</f>
        <v>0</v>
      </c>
      <c r="N7" s="12" t="s">
        <v>18</v>
      </c>
      <c r="O7" s="11">
        <f>IF(A2=3,C7*2*C11/12,0)</f>
        <v>0</v>
      </c>
      <c r="P7" s="9">
        <f>MROUND(O7*C8/12*1/27+0.4,1)</f>
        <v>0</v>
      </c>
      <c r="Q7" s="12" t="s">
        <v>18</v>
      </c>
      <c r="R7" s="11">
        <f>IF(A2=4,C7*2*C11/12,0)</f>
        <v>0</v>
      </c>
      <c r="S7" s="9">
        <f>MROUND(R7*C8/12*1/27+0.4,1)</f>
        <v>0</v>
      </c>
      <c r="T7">
        <f aca="true" t="shared" si="11" ref="T7:T20">IF(W7&gt;0,U6+1,T6+0.00001)</f>
        <v>2</v>
      </c>
      <c r="U7">
        <f aca="true" t="shared" si="12" ref="U7:U20">IF(T7&gt;U6+0.5,U6+1,U6)</f>
        <v>2</v>
      </c>
      <c r="V7" s="22">
        <f>LOOKUP(A2,Reference!$A$2:$X$2,Reference!$A$29:$X$29)</f>
        <v>823</v>
      </c>
      <c r="W7" s="22">
        <f>IF(AND(A2=1,NOT(C14=424)),J13,0)+IF(A2=2,L21,0)+IF(A2=3,P15,0)+IF(A2=4,S16,0)</f>
        <v>1146</v>
      </c>
      <c r="X7" s="22" t="str">
        <f>LOOKUP(B2,Reference!$A$2:$X$2,Reference!$A$29:$X$29)</f>
        <v>C.Y.</v>
      </c>
      <c r="Y7" s="22" t="str">
        <f>LOOKUP(C2,Reference!$A$2:$X$2,Reference!$A$29:$X$29)</f>
        <v>Asphalt concrete surface course PG 64-22, Type 1 (823) applied, spread and compacted at the average depth of </v>
      </c>
      <c r="Z7" s="22">
        <f>IF(AND(A2=1,NOT(C14=424)),C13,0)+IF(A2=4,R16,0)</f>
        <v>1.5</v>
      </c>
      <c r="AA7" s="22" t="str">
        <f>LOOKUP(D2,Reference!$A$2:$X$2,Reference!$A$29:$X$29)</f>
        <v> inches</v>
      </c>
      <c r="AB7" s="22"/>
      <c r="AC7" s="22"/>
      <c r="AD7" s="22"/>
      <c r="AE7" s="1">
        <f t="shared" si="3"/>
        <v>823</v>
      </c>
      <c r="AF7" s="1">
        <f t="shared" si="4"/>
        <v>1146</v>
      </c>
      <c r="AG7" s="1" t="str">
        <f t="shared" si="5"/>
        <v>C.Y.</v>
      </c>
      <c r="AH7" s="1" t="str">
        <f t="shared" si="6"/>
        <v>Asphalt concrete surface course PG 64-22, Type 1 (823) applied, spread and compacted at the average depth of </v>
      </c>
      <c r="AI7" s="1">
        <f t="shared" si="7"/>
        <v>1.5</v>
      </c>
      <c r="AJ7" s="1" t="str">
        <f t="shared" si="8"/>
        <v> inches</v>
      </c>
      <c r="AK7" s="1">
        <f t="shared" si="1"/>
      </c>
      <c r="AL7" s="1">
        <f t="shared" si="1"/>
      </c>
      <c r="AM7" s="1">
        <f t="shared" si="2"/>
      </c>
      <c r="AN7" s="1"/>
      <c r="AO7" s="27">
        <f>LOOKUP(F2,Reference!A$2:X$2,Reference!$A$29:$X$29)</f>
        <v>150</v>
      </c>
      <c r="AP7" s="30">
        <v>185</v>
      </c>
      <c r="AQ7" s="27">
        <f t="shared" si="9"/>
        <v>185</v>
      </c>
      <c r="AR7" s="1" t="str">
        <f t="shared" si="10"/>
        <v>Asphalt concrete surface course PG 64-22, Type 1 (823) applied, spread and compacted at the average depth of 1.5 inches</v>
      </c>
    </row>
    <row r="8" spans="1:44" ht="12.75">
      <c r="A8" s="3" t="str">
        <f>LOOKUP(A2,Reference!$A$2:$X$2,Reference!A$8:X$8)</f>
        <v>Berm Depth</v>
      </c>
      <c r="B8" s="3"/>
      <c r="C8" s="5"/>
      <c r="D8" t="str">
        <f>LOOKUP(C2,Reference!$A$2:$X$2,Reference!A$8:X$8)</f>
        <v>inches</v>
      </c>
      <c r="H8" s="12"/>
      <c r="I8" s="11"/>
      <c r="J8" s="9"/>
      <c r="K8" s="11"/>
      <c r="N8" s="7"/>
      <c r="O8" s="11"/>
      <c r="P8" s="9"/>
      <c r="R8" s="11"/>
      <c r="S8" s="9"/>
      <c r="T8">
        <f t="shared" si="11"/>
        <v>2.00001</v>
      </c>
      <c r="U8">
        <f t="shared" si="12"/>
        <v>2</v>
      </c>
      <c r="V8" s="22">
        <f>LOOKUP(A2,Reference!$A$2:$X$2,Reference!$A$30:$X$30)</f>
        <v>407</v>
      </c>
      <c r="W8" s="22">
        <f>+IF(A2=2,M15,0)+IF(A2=3,P7,0)+IF(A2=4,S15,0)+IF(A2=1,J16,0)</f>
        <v>0</v>
      </c>
      <c r="X8" s="22" t="str">
        <f>LOOKUP(B2,Reference!$A$2:$X$2,Reference!$A$30:$X$30)</f>
        <v>Gal</v>
      </c>
      <c r="Y8" s="22" t="str">
        <f>LOOKUP(C2,Reference!$A$2:$X$2,Reference!$A$30:$X$30)</f>
        <v>Rubberized Latex Tack Coat (0.08 Gal./S.Y.)</v>
      </c>
      <c r="Z8" s="22">
        <f>IF(A2=2,C16,0)+IF(A2=3,C8,0)+IF(A2=4,R17,0)</f>
        <v>0</v>
      </c>
      <c r="AA8" s="22">
        <f>LOOKUP(D2,Reference!$A$2:$X$2,Reference!$A$30:$X$30)</f>
        <v>0</v>
      </c>
      <c r="AB8" s="22">
        <f>IF(A2=4,R15,0)</f>
        <v>0</v>
      </c>
      <c r="AC8" s="22"/>
      <c r="AD8" s="22">
        <f>LOOKUP(E2,Reference!$A$2:$X$2,Reference!$A$30:$X$30)</f>
        <v>0</v>
      </c>
      <c r="AE8" s="1">
        <f t="shared" si="3"/>
        <v>407</v>
      </c>
      <c r="AF8" s="1">
        <f t="shared" si="4"/>
      </c>
      <c r="AG8" s="1" t="str">
        <f t="shared" si="5"/>
        <v>Gal</v>
      </c>
      <c r="AH8" s="1" t="str">
        <f t="shared" si="6"/>
        <v>Rubberized Latex Tack Coat (0.08 Gal./S.Y.)</v>
      </c>
      <c r="AI8" s="1">
        <f t="shared" si="7"/>
      </c>
      <c r="AJ8" s="1">
        <f t="shared" si="8"/>
      </c>
      <c r="AK8" s="1">
        <f t="shared" si="1"/>
      </c>
      <c r="AL8" s="1">
        <f t="shared" si="1"/>
      </c>
      <c r="AM8" s="1">
        <f t="shared" si="2"/>
      </c>
      <c r="AN8" s="1"/>
      <c r="AO8" s="27">
        <f>LOOKUP(F2,Reference!A$2:X$2,Reference!$A$30:$X$30)</f>
        <v>3.5</v>
      </c>
      <c r="AP8" s="30"/>
      <c r="AQ8" s="27">
        <f t="shared" si="9"/>
        <v>3.5</v>
      </c>
      <c r="AR8" s="1" t="str">
        <f t="shared" si="10"/>
        <v>Rubberized Latex Tack Coat (0.08 Gal./S.Y.)</v>
      </c>
    </row>
    <row r="9" spans="1:44" ht="12.75">
      <c r="A9" s="3" t="str">
        <f>LOOKUP(A2,Reference!$A$2:$X$2,Reference!A$9:X$9)</f>
        <v>Pavement Planing</v>
      </c>
      <c r="B9" s="3"/>
      <c r="C9" s="5">
        <v>245</v>
      </c>
      <c r="D9" s="5"/>
      <c r="E9" s="5"/>
      <c r="F9" s="5"/>
      <c r="G9" s="5"/>
      <c r="H9" s="7" t="s">
        <v>52</v>
      </c>
      <c r="I9" s="11">
        <f>IF(A2=1,C9,0)</f>
        <v>245</v>
      </c>
      <c r="J9" s="9">
        <f>IF(A2=1,SUM(D9:G9),0)</f>
        <v>0</v>
      </c>
      <c r="K9" s="7" t="s">
        <v>52</v>
      </c>
      <c r="L9" s="11">
        <f>IF(A2=2,C9,0)</f>
        <v>0</v>
      </c>
      <c r="M9" s="11">
        <f>IF(A2=2,SUM(D9:G9),0)</f>
        <v>0</v>
      </c>
      <c r="N9" s="7"/>
      <c r="O9" s="11"/>
      <c r="P9" s="9"/>
      <c r="R9" s="11"/>
      <c r="S9" s="9"/>
      <c r="T9">
        <f t="shared" si="11"/>
        <v>2.00002</v>
      </c>
      <c r="U9">
        <f t="shared" si="12"/>
        <v>2</v>
      </c>
      <c r="V9" s="22">
        <f>LOOKUP(A2,Reference!$A$2:$X$2,Reference!$A$31:$X$31)</f>
        <v>424</v>
      </c>
      <c r="W9" s="22">
        <f>IF(A2=2,M18+M19,0)+IF(AND(C11&gt;0,A2=3),1,0)+IF(A2=4,S18,0)+IF(AND(A2=1,C14=424),J13,0)</f>
        <v>0</v>
      </c>
      <c r="X9" s="22" t="str">
        <f>LOOKUP(B2,Reference!$A$2:$X$2,Reference!$A$31:$X$31)</f>
        <v>C.Y.</v>
      </c>
      <c r="Y9" s="22" t="str">
        <f>LOOKUP(C2,Reference!$A$2:$X$2,Reference!$A$31:$X$31)</f>
        <v>Type B Smooth Seal Asphalt PG76-22, spread and compacted at the average depth of </v>
      </c>
      <c r="Z9" s="28">
        <f>IF(AND(A2=1,C14=424),C13,0)</f>
        <v>0</v>
      </c>
      <c r="AA9" s="22" t="str">
        <f>LOOKUP(D2,Reference!$A$2:$X$2,Reference!$A$31:$X$31)</f>
        <v> inches</v>
      </c>
      <c r="AB9" s="22"/>
      <c r="AC9" s="22"/>
      <c r="AD9" s="22"/>
      <c r="AE9" s="1">
        <f t="shared" si="3"/>
        <v>424</v>
      </c>
      <c r="AF9" s="1">
        <f t="shared" si="4"/>
      </c>
      <c r="AG9" s="1" t="str">
        <f t="shared" si="5"/>
        <v>C.Y.</v>
      </c>
      <c r="AH9" s="1" t="str">
        <f t="shared" si="6"/>
        <v>Type B Smooth Seal Asphalt PG76-22, spread and compacted at the average depth of </v>
      </c>
      <c r="AI9" s="1">
        <f t="shared" si="7"/>
      </c>
      <c r="AJ9" s="1" t="str">
        <f t="shared" si="8"/>
        <v> inches</v>
      </c>
      <c r="AK9" s="1">
        <f t="shared" si="1"/>
      </c>
      <c r="AL9" s="1">
        <f t="shared" si="1"/>
      </c>
      <c r="AM9" s="1">
        <f t="shared" si="2"/>
      </c>
      <c r="AN9" s="1"/>
      <c r="AO9" s="27">
        <f>LOOKUP(F2,Reference!A$2:X$2,Reference!$A$31:$X$31)</f>
        <v>210</v>
      </c>
      <c r="AP9" s="30"/>
      <c r="AQ9" s="27">
        <f t="shared" si="9"/>
        <v>210</v>
      </c>
      <c r="AR9" s="1" t="str">
        <f t="shared" si="10"/>
        <v>Type B Smooth Seal Asphalt PG76-22, spread and compacted at the average depth of  inches</v>
      </c>
    </row>
    <row r="10" spans="1:44" ht="12.75">
      <c r="A10" s="3" t="str">
        <f>LOOKUP(A2,Reference!$A$2:$X$2,Reference!A$10:X$10)</f>
        <v>Pavement Width</v>
      </c>
      <c r="B10" s="3"/>
      <c r="C10" s="5">
        <v>19</v>
      </c>
      <c r="D10" t="str">
        <f>LOOKUP(C2,Reference!$A$2:$X$2,Reference!A$10:X$10)</f>
        <v>feet</v>
      </c>
      <c r="H10" s="12" t="s">
        <v>48</v>
      </c>
      <c r="I10" s="11">
        <f>IF(A2=1,C10*C11,0)</f>
        <v>245955</v>
      </c>
      <c r="J10" s="9"/>
      <c r="K10" s="14" t="s">
        <v>53</v>
      </c>
      <c r="L10">
        <f>IF(A2=2,C10,0)</f>
        <v>0</v>
      </c>
      <c r="N10" s="17" t="s">
        <v>48</v>
      </c>
      <c r="O10" s="11">
        <f>IF(A2=3,C10*C11,0)</f>
        <v>0</v>
      </c>
      <c r="P10" s="9"/>
      <c r="Q10" s="17" t="s">
        <v>48</v>
      </c>
      <c r="R10" s="11">
        <f>IF(A2=4,C10*C11,0)</f>
        <v>0</v>
      </c>
      <c r="S10" s="9"/>
      <c r="T10">
        <f t="shared" si="11"/>
        <v>2.00003</v>
      </c>
      <c r="U10">
        <f t="shared" si="12"/>
        <v>2</v>
      </c>
      <c r="V10" s="22">
        <f>LOOKUP(A2,Reference!$A$2:$X$2,Reference!$A$32:$X$32)</f>
        <v>617</v>
      </c>
      <c r="W10" s="22">
        <f>IF(A2=2,M13,0)+IF(AND(C11&gt;0,A2=3),1,0)+IF(A2=4,S7,0)+IF(A2=1,J7,0)</f>
        <v>0</v>
      </c>
      <c r="X10" s="22" t="str">
        <f>LOOKUP(B2,Reference!$A$2:$X$2,Reference!$A$32:$X$32)</f>
        <v>C.Y.</v>
      </c>
      <c r="Y10" s="22" t="str">
        <f>LOOKUP(C2,Reference!$A$2:$X$2,Reference!$A$32:$X$32)</f>
        <v>Stabilized crushed aggregate berm in place and compacted at the average depth of </v>
      </c>
      <c r="Z10" s="22">
        <f>IF(A2=2,C13,0)+IF(A2=4,C8,0)+IF(A2=1,C8,0)</f>
        <v>0</v>
      </c>
      <c r="AA10" s="22" t="str">
        <f>LOOKUP(D2,Reference!$A$2:$X$2,Reference!$A$32:$X$32)</f>
        <v> inches</v>
      </c>
      <c r="AB10" s="22"/>
      <c r="AC10" s="22"/>
      <c r="AD10" s="22"/>
      <c r="AE10" s="1">
        <f t="shared" si="3"/>
        <v>617</v>
      </c>
      <c r="AF10" s="1">
        <f t="shared" si="4"/>
      </c>
      <c r="AG10" s="1" t="str">
        <f t="shared" si="5"/>
        <v>C.Y.</v>
      </c>
      <c r="AH10" s="1" t="str">
        <f t="shared" si="6"/>
        <v>Stabilized crushed aggregate berm in place and compacted at the average depth of </v>
      </c>
      <c r="AI10" s="1">
        <f t="shared" si="7"/>
      </c>
      <c r="AJ10" s="1" t="str">
        <f t="shared" si="8"/>
        <v> inches</v>
      </c>
      <c r="AK10" s="1">
        <f t="shared" si="1"/>
      </c>
      <c r="AL10" s="1">
        <f t="shared" si="1"/>
      </c>
      <c r="AM10" s="1">
        <f t="shared" si="2"/>
      </c>
      <c r="AN10" s="1"/>
      <c r="AO10" s="27">
        <f>LOOKUP(F2,Reference!A$2:X$2,Reference!$A$32:$X$32)</f>
        <v>58</v>
      </c>
      <c r="AP10" s="30"/>
      <c r="AQ10" s="27">
        <f t="shared" si="9"/>
        <v>58</v>
      </c>
      <c r="AR10" s="1" t="str">
        <f t="shared" si="10"/>
        <v>Stabilized crushed aggregate berm in place and compacted at the average depth of  inches</v>
      </c>
    </row>
    <row r="11" spans="1:44" ht="12.75">
      <c r="A11" s="3" t="str">
        <f>LOOKUP(A2,Reference!$A$2:$X$2,Reference!A$11:X$11)</f>
        <v>Pavement Length</v>
      </c>
      <c r="B11" s="3"/>
      <c r="C11" s="5">
        <v>12945</v>
      </c>
      <c r="D11" t="str">
        <f>LOOKUP(C2,Reference!$A$2:$X$2,Reference!A$11:X$11)</f>
        <v>feet</v>
      </c>
      <c r="H11" s="12" t="s">
        <v>46</v>
      </c>
      <c r="I11" s="11">
        <f>IF(A2=1,I10+I6+I5,0)</f>
        <v>247431</v>
      </c>
      <c r="J11" s="9"/>
      <c r="K11" s="12" t="s">
        <v>48</v>
      </c>
      <c r="L11">
        <f>IF(A2=2,C11*C12,0)</f>
        <v>0</v>
      </c>
      <c r="N11" s="17" t="s">
        <v>46</v>
      </c>
      <c r="O11" s="11">
        <f>O10+O5+O6</f>
        <v>0</v>
      </c>
      <c r="P11" s="9"/>
      <c r="Q11" s="17" t="s">
        <v>46</v>
      </c>
      <c r="R11" s="11">
        <f>R10+R5+R6</f>
        <v>0</v>
      </c>
      <c r="S11" s="9"/>
      <c r="T11">
        <f t="shared" si="11"/>
        <v>3</v>
      </c>
      <c r="U11">
        <f t="shared" si="12"/>
        <v>3</v>
      </c>
      <c r="V11" s="22">
        <f>LOOKUP(A2,Reference!$A$2:$X$2,Reference!$A$33:$X$33)</f>
        <v>254</v>
      </c>
      <c r="W11" s="22">
        <f>IF(AND(A2=2,NOT(C20=424)),M14,0)+IF(AND(C11&gt;0,A2=3),1,0)+IF(AND(C11&gt;0,A2=4),1,0)+IF(A2=1,I9,0)</f>
        <v>245</v>
      </c>
      <c r="X11" s="22" t="str">
        <f>LOOKUP(B2,Reference!$A$2:$X$2,Reference!$A$33:$X$33)</f>
        <v>S.Y.</v>
      </c>
      <c r="Y11" s="22" t="str">
        <f>LOOKUP(C2,Reference!$A$2:$X$2,Reference!$A$33:$X$33)</f>
        <v>Pavement Planing</v>
      </c>
      <c r="Z11" s="22">
        <f>IF(AND(A2=2,NOT(C20=424)),C14,0)+IF(A2=1,J9,0)</f>
        <v>0</v>
      </c>
      <c r="AA11" s="22" t="str">
        <f>LOOKUP(D2,Reference!$A$2:$X$2,Reference!$A$33:$X$33)</f>
        <v> (20' length including radius)</v>
      </c>
      <c r="AB11" s="22"/>
      <c r="AC11" s="22"/>
      <c r="AD11" s="22"/>
      <c r="AE11" s="1">
        <f t="shared" si="3"/>
        <v>254</v>
      </c>
      <c r="AF11" s="1">
        <f t="shared" si="4"/>
        <v>245</v>
      </c>
      <c r="AG11" s="1" t="str">
        <f t="shared" si="5"/>
        <v>S.Y.</v>
      </c>
      <c r="AH11" s="1" t="str">
        <f t="shared" si="6"/>
        <v>Pavement Planing</v>
      </c>
      <c r="AI11" s="1">
        <f t="shared" si="7"/>
      </c>
      <c r="AJ11" s="1" t="str">
        <f t="shared" si="8"/>
        <v> (20' length including radius)</v>
      </c>
      <c r="AK11" s="1">
        <f t="shared" si="1"/>
      </c>
      <c r="AL11" s="1">
        <f t="shared" si="1"/>
      </c>
      <c r="AM11" s="1">
        <f t="shared" si="2"/>
      </c>
      <c r="AN11" s="1"/>
      <c r="AO11" s="27">
        <v>20</v>
      </c>
      <c r="AP11" s="30">
        <v>12</v>
      </c>
      <c r="AQ11" s="27">
        <f t="shared" si="9"/>
        <v>12</v>
      </c>
      <c r="AR11" s="1" t="str">
        <f t="shared" si="10"/>
        <v>Pavement Planing (20' length including radius)</v>
      </c>
    </row>
    <row r="12" spans="1:44" ht="12.75">
      <c r="A12" s="3" t="str">
        <f>LOOKUP(A2,Reference!$A$2:$X$2,Reference!A$12:X$12)</f>
        <v>Intermediate Course</v>
      </c>
      <c r="B12" s="3"/>
      <c r="C12" s="5"/>
      <c r="D12" t="str">
        <f>LOOKUP(C2,Reference!$A$2:$X$2,Reference!A$12:X$12)</f>
        <v>inches</v>
      </c>
      <c r="H12" s="7"/>
      <c r="I12" s="11"/>
      <c r="J12" s="13">
        <f>MROUND(I11*C12/12*1/27+0.4,1)</f>
        <v>0</v>
      </c>
      <c r="K12" s="12" t="s">
        <v>46</v>
      </c>
      <c r="L12">
        <f>IF(A2=2,L5+L6+L10+L11,0)</f>
        <v>0</v>
      </c>
      <c r="N12" s="18" t="s">
        <v>70</v>
      </c>
      <c r="O12" s="8">
        <f>IF(A2=3,C12,0)</f>
        <v>0</v>
      </c>
      <c r="P12" s="9">
        <f>MROUND(O11/9*O12/2400+2,5)</f>
        <v>0</v>
      </c>
      <c r="Q12" s="18" t="s">
        <v>77</v>
      </c>
      <c r="R12" s="8">
        <f>IF(A2=4,C12,0)</f>
        <v>0</v>
      </c>
      <c r="S12" s="9">
        <f>MROUND(R11/9*R12/2400+2,5)</f>
        <v>0</v>
      </c>
      <c r="T12">
        <f t="shared" si="11"/>
        <v>4</v>
      </c>
      <c r="U12">
        <f t="shared" si="12"/>
        <v>4</v>
      </c>
      <c r="V12" s="22">
        <f>LOOKUP(A2,Reference!$A$2:$X$2,Reference!$A$34:$X$34)</f>
        <v>614</v>
      </c>
      <c r="W12" s="22">
        <f>IF(AND(C11&gt;0,A2=1),1,0)+IF(AND(C11&gt;0,A2=4),1,0)+IF(A2=2,M20,0)</f>
        <v>1</v>
      </c>
      <c r="X12" s="22" t="str">
        <f>LOOKUP(B2,Reference!$A$2:$X$2,Reference!$A$34:$X$34)</f>
        <v>L.S.</v>
      </c>
      <c r="Y12" s="22" t="str">
        <f>LOOKUP(C2,Reference!$A$2:$X$2,Reference!$A$34:$X$34)</f>
        <v>Maintaining Traffic</v>
      </c>
      <c r="Z12" s="22"/>
      <c r="AA12" s="22">
        <f>LOOKUP(D2,Reference!$A$2:$X$2,Reference!$A$34:$X$34)</f>
        <v>0</v>
      </c>
      <c r="AB12" s="22"/>
      <c r="AC12" s="22"/>
      <c r="AD12" s="22"/>
      <c r="AE12" s="1">
        <f t="shared" si="3"/>
        <v>614</v>
      </c>
      <c r="AF12" s="1">
        <f t="shared" si="4"/>
        <v>1</v>
      </c>
      <c r="AG12" s="1" t="str">
        <f t="shared" si="5"/>
        <v>L.S.</v>
      </c>
      <c r="AH12" s="1" t="str">
        <f t="shared" si="6"/>
        <v>Maintaining Traffic</v>
      </c>
      <c r="AI12" s="1">
        <f t="shared" si="7"/>
      </c>
      <c r="AJ12" s="1">
        <f t="shared" si="8"/>
      </c>
      <c r="AK12" s="1">
        <f t="shared" si="1"/>
      </c>
      <c r="AL12" s="1">
        <f t="shared" si="1"/>
      </c>
      <c r="AM12" s="1">
        <f t="shared" si="2"/>
      </c>
      <c r="AN12" s="1"/>
      <c r="AO12" s="27">
        <f>LOOKUP(F2,Reference!A$2:X$2,Reference!$A$34:$X$34)</f>
        <v>2000</v>
      </c>
      <c r="AP12" s="30">
        <v>3000</v>
      </c>
      <c r="AQ12" s="27">
        <f t="shared" si="9"/>
        <v>3000</v>
      </c>
      <c r="AR12" s="1" t="str">
        <f t="shared" si="10"/>
        <v>Maintaining Traffic</v>
      </c>
    </row>
    <row r="13" spans="1:44" ht="12.75">
      <c r="A13" s="3" t="str">
        <f>LOOKUP(A2,Reference!$A$2:$X$2,Reference!A$13:X$13)</f>
        <v>Surface Course</v>
      </c>
      <c r="B13" s="3"/>
      <c r="C13" s="5">
        <v>1.5</v>
      </c>
      <c r="D13" t="str">
        <f>LOOKUP(C2,Reference!$A$2:$X$2,Reference!A$13:X$13)</f>
        <v>inches</v>
      </c>
      <c r="H13" s="7"/>
      <c r="I13" s="11"/>
      <c r="J13" s="13">
        <f>MROUND(I11*C13/12*1/27+0.4,1)</f>
        <v>1146</v>
      </c>
      <c r="K13" s="3" t="s">
        <v>54</v>
      </c>
      <c r="M13">
        <f>MROUND(L12*C13/12*1/27,1)</f>
        <v>0</v>
      </c>
      <c r="N13" s="18" t="s">
        <v>64</v>
      </c>
      <c r="O13" s="11">
        <f>IF(A2=3,C13,0)</f>
        <v>0</v>
      </c>
      <c r="P13" s="9">
        <f>MROUND(O13*O11/9+2.4,5)</f>
        <v>0</v>
      </c>
      <c r="Q13" s="18" t="s">
        <v>78</v>
      </c>
      <c r="R13" s="11">
        <f>IF(A2=4,C13,0)</f>
        <v>0</v>
      </c>
      <c r="S13" s="9">
        <f>MROUND(R13*R11/9+2.4,5)</f>
        <v>0</v>
      </c>
      <c r="T13">
        <f t="shared" si="11"/>
        <v>5</v>
      </c>
      <c r="U13">
        <f t="shared" si="12"/>
        <v>5</v>
      </c>
      <c r="V13" s="22">
        <f>LOOKUP(A2,Reference!$A$2:$X$2,Reference!$A$35:$X$35)</f>
        <v>624</v>
      </c>
      <c r="W13" s="22">
        <f>IF(AND(C11&gt;0,A2=1),1,0)+IF(AND(C11&gt;0,A2=4),1,0)+IF(AND(A2=2,C20=424),M14,0)</f>
        <v>1</v>
      </c>
      <c r="X13" s="22" t="str">
        <f>LOOKUP(B2,Reference!$A$2:$X$2,Reference!$A$35:$X$35)</f>
        <v>L.S.</v>
      </c>
      <c r="Y13" s="22" t="str">
        <f>LOOKUP(C2,Reference!$A$2:$X$2,Reference!$A$35:$X$35)</f>
        <v>Mobilization</v>
      </c>
      <c r="Z13" s="22">
        <f>IF(AND(A2=2,C20=424),C14,0)</f>
        <v>0</v>
      </c>
      <c r="AA13" s="22">
        <f>LOOKUP(D2,Reference!$A$2:$X$2,Reference!$A$35:$X$35)</f>
        <v>0</v>
      </c>
      <c r="AB13" s="22"/>
      <c r="AC13" s="22"/>
      <c r="AD13" s="22"/>
      <c r="AE13" s="1">
        <f t="shared" si="3"/>
        <v>624</v>
      </c>
      <c r="AF13" s="1">
        <f t="shared" si="4"/>
        <v>1</v>
      </c>
      <c r="AG13" s="1" t="str">
        <f t="shared" si="5"/>
        <v>L.S.</v>
      </c>
      <c r="AH13" s="1" t="str">
        <f t="shared" si="6"/>
        <v>Mobilization</v>
      </c>
      <c r="AI13" s="1">
        <f t="shared" si="7"/>
      </c>
      <c r="AJ13" s="1">
        <f t="shared" si="8"/>
      </c>
      <c r="AK13" s="1">
        <f t="shared" si="1"/>
      </c>
      <c r="AL13" s="1">
        <f t="shared" si="1"/>
      </c>
      <c r="AM13" s="1">
        <f t="shared" si="2"/>
      </c>
      <c r="AN13" s="1"/>
      <c r="AO13" s="27">
        <f>LOOKUP(F2,Reference!A$2:X$2,Reference!$A$35:$X$35)</f>
        <v>3000</v>
      </c>
      <c r="AP13" s="30">
        <v>1500</v>
      </c>
      <c r="AQ13" s="27">
        <f t="shared" si="9"/>
        <v>1500</v>
      </c>
      <c r="AR13" s="1" t="str">
        <f t="shared" si="10"/>
        <v>Mobilization</v>
      </c>
    </row>
    <row r="14" spans="1:44" ht="12.75">
      <c r="A14" s="3" t="str">
        <f>LOOKUP(A2,Reference!$A$2:$X$2,Reference!A$14:X$14)</f>
        <v>Type of Surface </v>
      </c>
      <c r="B14" s="3"/>
      <c r="C14" s="5">
        <v>823</v>
      </c>
      <c r="D14" t="str">
        <f>LOOKUP(C2,Reference!$A$2:$X$2,Reference!A$14:X$14)</f>
        <v>(424, 823, 448)</v>
      </c>
      <c r="H14" s="12" t="s">
        <v>88</v>
      </c>
      <c r="I14" s="11">
        <v>0.05</v>
      </c>
      <c r="J14" s="9">
        <f>MROUND(I14*I11/9,5)</f>
        <v>1375</v>
      </c>
      <c r="K14" s="8" t="s">
        <v>55</v>
      </c>
      <c r="M14">
        <f>MROUND(L12*C14/12*1/27,1)</f>
        <v>0</v>
      </c>
      <c r="N14" s="12" t="s">
        <v>69</v>
      </c>
      <c r="O14" s="11">
        <f>IF(A2=3,C14,0)</f>
        <v>0</v>
      </c>
      <c r="P14" s="9"/>
      <c r="Q14" s="12" t="s">
        <v>79</v>
      </c>
      <c r="R14" s="11">
        <f>IF(A2=4,C14,0)</f>
        <v>0</v>
      </c>
      <c r="S14" s="9"/>
      <c r="T14">
        <f t="shared" si="11"/>
        <v>6</v>
      </c>
      <c r="U14">
        <f t="shared" si="12"/>
        <v>6</v>
      </c>
      <c r="V14" s="22">
        <f>LOOKUP(A2,Reference!$A$2:$X$2,Reference!$A$36:$X$36)</f>
        <v>103.05</v>
      </c>
      <c r="W14" s="22">
        <f>+IF(A2=2,M7,0)+IF(AND(C11&gt;0,A2=1),1,0)</f>
        <v>1</v>
      </c>
      <c r="X14" s="22" t="str">
        <f>LOOKUP(B2,Reference!$A$2:$X$2,Reference!$A$36:$X$36)</f>
        <v>L.S.</v>
      </c>
      <c r="Y14" s="22" t="str">
        <f>LOOKUP(C2,Reference!$A$2:$X$2,Reference!$A$36:$X$36)</f>
        <v>Contract Performance &amp; Payment Bond</v>
      </c>
      <c r="Z14" s="22">
        <f>IF(A2=2,C8,0)</f>
        <v>0</v>
      </c>
      <c r="AA14" s="22">
        <f>LOOKUP(D2,Reference!$A$2:$X$2,Reference!$A$36:$X$36)</f>
        <v>0</v>
      </c>
      <c r="AB14" s="22"/>
      <c r="AC14" s="22"/>
      <c r="AD14" s="22"/>
      <c r="AE14" s="1">
        <f t="shared" si="3"/>
        <v>103.05</v>
      </c>
      <c r="AF14" s="1">
        <f t="shared" si="4"/>
        <v>1</v>
      </c>
      <c r="AG14" s="1" t="str">
        <f t="shared" si="5"/>
        <v>L.S.</v>
      </c>
      <c r="AH14" s="1" t="str">
        <f t="shared" si="6"/>
        <v>Contract Performance &amp; Payment Bond</v>
      </c>
      <c r="AI14" s="1">
        <f t="shared" si="7"/>
      </c>
      <c r="AJ14" s="1">
        <f t="shared" si="8"/>
      </c>
      <c r="AK14" s="1">
        <f t="shared" si="1"/>
      </c>
      <c r="AL14" s="1">
        <f t="shared" si="1"/>
      </c>
      <c r="AM14" s="1">
        <f t="shared" si="2"/>
      </c>
      <c r="AN14" s="1"/>
      <c r="AO14" s="27">
        <f>LOOKUP(F2,Reference!A$2:X$2,Reference!$A$36:$X$36)</f>
        <v>1000</v>
      </c>
      <c r="AP14" s="30">
        <v>1202.5</v>
      </c>
      <c r="AQ14" s="27">
        <f t="shared" si="9"/>
        <v>1202.5</v>
      </c>
      <c r="AR14" s="1" t="str">
        <f t="shared" si="10"/>
        <v>Contract Performance &amp; Payment Bond</v>
      </c>
    </row>
    <row r="15" spans="1:44" ht="12.75">
      <c r="A15" s="3">
        <f>LOOKUP(A2,Reference!$A$2:$X$2,Reference!A$15:X$15)</f>
        <v>0</v>
      </c>
      <c r="B15" s="3"/>
      <c r="C15" s="5"/>
      <c r="D15">
        <f>LOOKUP(C2,Reference!$A$2:$X$2,Reference!A$15:X$15)</f>
        <v>0</v>
      </c>
      <c r="H15" s="12" t="s">
        <v>89</v>
      </c>
      <c r="I15" s="11">
        <f>IF(C12&gt;0.1,0.05,0)</f>
        <v>0</v>
      </c>
      <c r="J15" s="9">
        <f>IF(AND(A2=1,NOT(C14=424)),MROUND(I15*I11/9,5),0)</f>
        <v>0</v>
      </c>
      <c r="K15" s="15" t="s">
        <v>57</v>
      </c>
      <c r="L15">
        <f>IF(A2=2,C12*C15,0)</f>
        <v>0</v>
      </c>
      <c r="M15">
        <f>MROUND(L15*C16/12*1/27,1)</f>
        <v>0</v>
      </c>
      <c r="N15" s="12" t="s">
        <v>59</v>
      </c>
      <c r="O15" s="11">
        <f>IF(A2=3,C15,0)</f>
        <v>0</v>
      </c>
      <c r="P15" s="9">
        <f>MROUND(O15*O11/9+2.4,5)</f>
        <v>0</v>
      </c>
      <c r="Q15" s="18" t="s">
        <v>80</v>
      </c>
      <c r="R15" s="8">
        <f>IF(A2=4,C15,0)</f>
        <v>0</v>
      </c>
      <c r="S15" s="9">
        <f>MROUND(R11/9*R15/2400+2,5)</f>
        <v>0</v>
      </c>
      <c r="T15">
        <f t="shared" si="11"/>
        <v>6.00001</v>
      </c>
      <c r="U15">
        <f t="shared" si="12"/>
        <v>6</v>
      </c>
      <c r="V15" s="22">
        <f>LOOKUP(A2,Reference!$A$2:$X$2,Reference!$A$37:$X$37)</f>
        <v>0</v>
      </c>
      <c r="W15" s="22">
        <f>IF(A2=2,L9,0)</f>
        <v>0</v>
      </c>
      <c r="X15" s="22">
        <f>LOOKUP(B2,Reference!$A$2:$X$2,Reference!$A$37:$X$37)</f>
        <v>0</v>
      </c>
      <c r="Y15" s="22">
        <f>LOOKUP(C2,Reference!$A$2:$X$2,Reference!$A$37:$X$37)</f>
        <v>0</v>
      </c>
      <c r="Z15" s="22">
        <f>IF(A2=2,M9,0)</f>
        <v>0</v>
      </c>
      <c r="AA15" s="22">
        <f>LOOKUP(D2,Reference!$A$2:$X$2,Reference!$A$37:$X$37)</f>
        <v>0</v>
      </c>
      <c r="AB15" s="22"/>
      <c r="AC15" s="22"/>
      <c r="AD15" s="22"/>
      <c r="AE15" s="1">
        <f t="shared" si="3"/>
      </c>
      <c r="AF15" s="1">
        <f t="shared" si="4"/>
      </c>
      <c r="AG15" s="1">
        <f t="shared" si="5"/>
      </c>
      <c r="AH15" s="1">
        <f t="shared" si="6"/>
      </c>
      <c r="AI15" s="1">
        <f t="shared" si="7"/>
      </c>
      <c r="AJ15" s="1">
        <f t="shared" si="8"/>
      </c>
      <c r="AK15" s="1">
        <f t="shared" si="1"/>
      </c>
      <c r="AL15" s="1">
        <f t="shared" si="1"/>
      </c>
      <c r="AM15" s="1">
        <f t="shared" si="2"/>
      </c>
      <c r="AN15" s="1"/>
      <c r="AO15" s="27">
        <f>LOOKUP(F2,Reference!A$2:X$2,Reference!$A$37:$X$37)</f>
        <v>0</v>
      </c>
      <c r="AP15" s="30"/>
      <c r="AQ15" s="27">
        <f t="shared" si="9"/>
        <v>0</v>
      </c>
      <c r="AR15" s="1">
        <f t="shared" si="10"/>
      </c>
    </row>
    <row r="16" spans="1:44" ht="12.75">
      <c r="A16" s="3">
        <f>LOOKUP(A2,Reference!$A$2:$X$2,Reference!A$16:X$16)</f>
        <v>0</v>
      </c>
      <c r="B16" s="3"/>
      <c r="C16" s="5"/>
      <c r="D16">
        <f>LOOKUP(C2,Reference!$A$2:$X$2,Reference!A$16:X$16)</f>
        <v>0</v>
      </c>
      <c r="H16" s="16" t="s">
        <v>132</v>
      </c>
      <c r="I16" s="11">
        <v>0.08</v>
      </c>
      <c r="J16" s="9">
        <f>IF(AND(A2=1,C14=424),MROUND(I16*I11/9,5),0)</f>
        <v>0</v>
      </c>
      <c r="K16" s="15" t="s">
        <v>96</v>
      </c>
      <c r="L16">
        <f>IF(A2=2,C17,0)</f>
        <v>0</v>
      </c>
      <c r="N16" s="7"/>
      <c r="O16" s="11"/>
      <c r="P16" s="9"/>
      <c r="Q16" s="18" t="s">
        <v>81</v>
      </c>
      <c r="R16" s="11">
        <f>IF(A2=4,C16,0)</f>
        <v>0</v>
      </c>
      <c r="S16" s="9">
        <f>MROUND(R16*R11/9+2.4,5)</f>
        <v>0</v>
      </c>
      <c r="T16">
        <f t="shared" si="11"/>
        <v>6.000019999999999</v>
      </c>
      <c r="U16">
        <f t="shared" si="12"/>
        <v>6</v>
      </c>
      <c r="V16" s="22">
        <f>LOOKUP(A2,Reference!$A$2:$X$2,Reference!$A$38:$X$38)</f>
        <v>0</v>
      </c>
      <c r="W16" s="22">
        <f>IF(AND(C12&gt;0,A2=2),1,0)</f>
        <v>0</v>
      </c>
      <c r="X16" s="22">
        <f>LOOKUP(B2,Reference!$A$2:$X$2,Reference!$A$38:$X$38)</f>
        <v>0</v>
      </c>
      <c r="Y16" s="22">
        <f>LOOKUP(C2,Reference!$A$2:$X$2,Reference!$A$38:$X$38)</f>
        <v>0</v>
      </c>
      <c r="Z16" s="22"/>
      <c r="AA16" s="22">
        <f>LOOKUP(D2,Reference!$A$2:$X$2,Reference!$A$38:$X$38)</f>
        <v>0</v>
      </c>
      <c r="AB16" s="22"/>
      <c r="AC16" s="22"/>
      <c r="AD16" s="22"/>
      <c r="AE16" s="1">
        <f t="shared" si="3"/>
      </c>
      <c r="AF16" s="1">
        <f t="shared" si="4"/>
      </c>
      <c r="AG16" s="1">
        <f t="shared" si="5"/>
      </c>
      <c r="AH16" s="1">
        <f t="shared" si="6"/>
      </c>
      <c r="AI16" s="1">
        <f t="shared" si="7"/>
      </c>
      <c r="AJ16" s="1">
        <f t="shared" si="8"/>
      </c>
      <c r="AK16" s="1">
        <f t="shared" si="1"/>
      </c>
      <c r="AL16" s="1">
        <f t="shared" si="1"/>
      </c>
      <c r="AM16" s="1">
        <f t="shared" si="2"/>
      </c>
      <c r="AN16" s="1"/>
      <c r="AO16" s="27">
        <f>LOOKUP(F2,Reference!A$2:X$2,Reference!$A$38:$X$38)</f>
        <v>0</v>
      </c>
      <c r="AP16" s="30"/>
      <c r="AQ16" s="27">
        <f t="shared" si="9"/>
        <v>0</v>
      </c>
      <c r="AR16" s="1">
        <f t="shared" si="10"/>
      </c>
    </row>
    <row r="17" spans="1:44" ht="12.75">
      <c r="A17" s="3">
        <f>LOOKUP(A2,Reference!$A$2:$X$2,Reference!A$17:X$17)</f>
        <v>0</v>
      </c>
      <c r="B17" s="3"/>
      <c r="C17" s="4"/>
      <c r="D17">
        <f>LOOKUP(C2,Reference!$A$2:$X$2,Reference!A$17:X$17)</f>
        <v>0</v>
      </c>
      <c r="H17" s="12" t="s">
        <v>116</v>
      </c>
      <c r="I17" s="11">
        <f>IF(A2=1,C11,0)</f>
        <v>12945</v>
      </c>
      <c r="J17" s="9"/>
      <c r="K17" s="15" t="s">
        <v>91</v>
      </c>
      <c r="L17">
        <f>IF(A2=2,C18,0)</f>
        <v>0</v>
      </c>
      <c r="N17" s="12" t="s">
        <v>116</v>
      </c>
      <c r="O17" s="11">
        <f>IF(A2=3,C11,0)</f>
        <v>0</v>
      </c>
      <c r="P17" s="9"/>
      <c r="Q17" s="12" t="s">
        <v>82</v>
      </c>
      <c r="R17" s="11">
        <f>IF(A2=4,C17,0)</f>
        <v>0</v>
      </c>
      <c r="S17" s="9"/>
      <c r="T17">
        <f t="shared" si="11"/>
        <v>6.000029999999999</v>
      </c>
      <c r="U17">
        <f t="shared" si="12"/>
        <v>6</v>
      </c>
      <c r="V17" s="22">
        <f>LOOKUP(A2,Reference!$A$2:$X$2,Reference!$A$39:$X$39)</f>
        <v>0</v>
      </c>
      <c r="W17" s="22">
        <f>IF(AND(C12&gt;0,A2=2),1,0)</f>
        <v>0</v>
      </c>
      <c r="X17" s="22">
        <f>LOOKUP(B2,Reference!$A$2:$X$2,Reference!$A$39:$X$39)</f>
        <v>0</v>
      </c>
      <c r="Y17" s="22">
        <f>LOOKUP(C2,Reference!$A$2:$X$2,Reference!$A$39:$X$39)</f>
        <v>0</v>
      </c>
      <c r="Z17" s="22"/>
      <c r="AA17" s="22">
        <f>LOOKUP(D2,Reference!$A$2:$X$2,Reference!$A$39:$X$39)</f>
        <v>0</v>
      </c>
      <c r="AB17" s="22"/>
      <c r="AC17" s="22"/>
      <c r="AD17" s="22"/>
      <c r="AE17" s="1">
        <f t="shared" si="3"/>
      </c>
      <c r="AF17" s="1">
        <f t="shared" si="4"/>
      </c>
      <c r="AG17" s="1">
        <f t="shared" si="5"/>
      </c>
      <c r="AH17" s="1">
        <f t="shared" si="6"/>
      </c>
      <c r="AI17" s="1">
        <f t="shared" si="7"/>
      </c>
      <c r="AJ17" s="1">
        <f t="shared" si="8"/>
      </c>
      <c r="AK17" s="1">
        <f t="shared" si="1"/>
      </c>
      <c r="AL17" s="1">
        <f t="shared" si="1"/>
      </c>
      <c r="AM17" s="1">
        <f t="shared" si="2"/>
      </c>
      <c r="AN17" s="1"/>
      <c r="AO17" s="27">
        <f>LOOKUP(F2,Reference!A$2:X$2,Reference!$A$39:$X$39)</f>
        <v>0</v>
      </c>
      <c r="AP17" s="30"/>
      <c r="AQ17" s="27">
        <f t="shared" si="9"/>
        <v>0</v>
      </c>
      <c r="AR17" s="1">
        <f t="shared" si="10"/>
      </c>
    </row>
    <row r="18" spans="1:44" ht="12.75">
      <c r="A18" s="3">
        <f>LOOKUP(A2,Reference!$A$2:$X$2,Reference!A$18:O$18)</f>
        <v>0</v>
      </c>
      <c r="B18" s="3"/>
      <c r="C18" s="5"/>
      <c r="D18">
        <f>LOOKUP(C2,Reference!$A$2:$X$2,Reference!A$18:X$18)</f>
        <v>0</v>
      </c>
      <c r="H18" s="12" t="s">
        <v>117</v>
      </c>
      <c r="I18" s="11">
        <f>IF(A2=1,C10,0)</f>
        <v>19</v>
      </c>
      <c r="J18" s="9"/>
      <c r="K18" s="16" t="s">
        <v>88</v>
      </c>
      <c r="L18">
        <v>0.05</v>
      </c>
      <c r="M18">
        <f>MROUND(L18*L12/9,5)</f>
        <v>0</v>
      </c>
      <c r="N18" s="12" t="s">
        <v>117</v>
      </c>
      <c r="O18" s="11">
        <f>IF(A2=3,C10,0)</f>
        <v>0</v>
      </c>
      <c r="P18" s="9"/>
      <c r="Q18" s="12" t="s">
        <v>59</v>
      </c>
      <c r="R18" s="11">
        <f>IF(A2=4,C18,0)</f>
        <v>0</v>
      </c>
      <c r="S18" s="9">
        <f>MROUND(R18*R11/9+2.4,5)</f>
        <v>0</v>
      </c>
      <c r="T18">
        <f t="shared" si="11"/>
        <v>6.0000399999999985</v>
      </c>
      <c r="U18">
        <f t="shared" si="12"/>
        <v>6</v>
      </c>
      <c r="V18" s="22">
        <f>LOOKUP(A2,Reference!$A$2:$X$2,Reference!$A$40:$X$40)</f>
        <v>0</v>
      </c>
      <c r="W18" s="22">
        <f>IF(AND(C12&gt;0,A2=2),1,0)</f>
        <v>0</v>
      </c>
      <c r="X18" s="22">
        <f>LOOKUP(B2,Reference!$A$2:$X$2,Reference!$A$40:$X$40)</f>
        <v>0</v>
      </c>
      <c r="Y18" s="22">
        <f>LOOKUP(C2,Reference!$A$2:$X$2,Reference!$A$40:$X$40)</f>
        <v>0</v>
      </c>
      <c r="Z18" s="22"/>
      <c r="AA18" s="22">
        <f>LOOKUP(D2,Reference!$A$2:$X$2,Reference!$A$40:$X$40)</f>
        <v>0</v>
      </c>
      <c r="AB18" s="22"/>
      <c r="AC18" s="22"/>
      <c r="AD18" s="22"/>
      <c r="AE18" s="1">
        <f t="shared" si="3"/>
      </c>
      <c r="AF18" s="1">
        <f t="shared" si="4"/>
      </c>
      <c r="AG18" s="1">
        <f t="shared" si="5"/>
      </c>
      <c r="AH18" s="1">
        <f t="shared" si="6"/>
      </c>
      <c r="AI18" s="1">
        <f t="shared" si="7"/>
      </c>
      <c r="AJ18" s="1">
        <f t="shared" si="8"/>
      </c>
      <c r="AK18" s="1">
        <f t="shared" si="1"/>
      </c>
      <c r="AL18" s="1">
        <f t="shared" si="1"/>
      </c>
      <c r="AM18" s="1">
        <f t="shared" si="2"/>
      </c>
      <c r="AN18" s="1"/>
      <c r="AO18" s="27">
        <f>LOOKUP(F2,Reference!A$2:X$2,Reference!$A$40:$X$40)</f>
        <v>0</v>
      </c>
      <c r="AP18" s="30"/>
      <c r="AQ18" s="27">
        <f t="shared" si="9"/>
        <v>0</v>
      </c>
      <c r="AR18" s="1">
        <f t="shared" si="10"/>
      </c>
    </row>
    <row r="19" spans="1:44" ht="12.75">
      <c r="A19" s="3">
        <f>LOOKUP(A2,Reference!$A$2:$X$2,Reference!A$19:O$19)</f>
        <v>0</v>
      </c>
      <c r="B19" s="3"/>
      <c r="C19" s="4"/>
      <c r="D19">
        <f>LOOKUP(C2,Reference!$A$2:$X$2,Reference!A$19:X$19)</f>
        <v>0</v>
      </c>
      <c r="H19" s="7"/>
      <c r="I19" s="11"/>
      <c r="J19" s="9"/>
      <c r="K19" s="16" t="s">
        <v>89</v>
      </c>
      <c r="L19">
        <f>IF(C13&gt;0.1,0.05,0)</f>
        <v>0.05</v>
      </c>
      <c r="M19">
        <f>IF(NOT(C20=424),MROUND(L19*L12/9,5),0)</f>
        <v>0</v>
      </c>
      <c r="N19" s="7"/>
      <c r="O19" s="11"/>
      <c r="P19" s="9"/>
      <c r="R19" s="11"/>
      <c r="S19" s="9"/>
      <c r="T19">
        <f t="shared" si="11"/>
        <v>6.000049999999998</v>
      </c>
      <c r="U19">
        <f t="shared" si="12"/>
        <v>6</v>
      </c>
      <c r="V19" s="22">
        <f>LOOKUP(A2,Reference!$A$2:$X$2,Reference!$A$41:$X$41)</f>
        <v>0</v>
      </c>
      <c r="W19" s="22"/>
      <c r="X19" s="22">
        <f>LOOKUP(B2,Reference!$A$2:$X$2,Reference!$A$41:$X$41)</f>
        <v>0</v>
      </c>
      <c r="Y19" s="22">
        <f>LOOKUP(C2,Reference!$A$2:$X$2,Reference!$A$41:$X$41)</f>
        <v>0</v>
      </c>
      <c r="Z19" s="22"/>
      <c r="AA19" s="22">
        <f>LOOKUP(D2,Reference!$A$2:$X$2,Reference!$A$41:$X$41)</f>
        <v>0</v>
      </c>
      <c r="AB19" s="22"/>
      <c r="AC19" s="22"/>
      <c r="AD19" s="22"/>
      <c r="AE19" s="1">
        <f t="shared" si="3"/>
      </c>
      <c r="AF19" s="1">
        <f t="shared" si="4"/>
      </c>
      <c r="AG19" s="1">
        <f t="shared" si="5"/>
      </c>
      <c r="AH19" s="1">
        <f t="shared" si="6"/>
      </c>
      <c r="AI19" s="1">
        <f t="shared" si="7"/>
      </c>
      <c r="AJ19" s="1">
        <f t="shared" si="8"/>
      </c>
      <c r="AK19" s="1">
        <f t="shared" si="1"/>
      </c>
      <c r="AL19" s="1">
        <f t="shared" si="1"/>
      </c>
      <c r="AM19" s="1">
        <f t="shared" si="2"/>
      </c>
      <c r="AN19" s="1"/>
      <c r="AO19" s="27">
        <f>LOOKUP(F2,Reference!A$2:X$2,Reference!$A$41:$X$41)</f>
        <v>0</v>
      </c>
      <c r="AP19" s="30"/>
      <c r="AQ19" s="27">
        <f t="shared" si="9"/>
        <v>0</v>
      </c>
      <c r="AR19" s="1">
        <f t="shared" si="10"/>
      </c>
    </row>
    <row r="20" spans="1:44" ht="12.75">
      <c r="A20" s="3">
        <f>LOOKUP(A2,Reference!$A$2:$X$2,Reference!A$20:X$20)</f>
        <v>0</v>
      </c>
      <c r="B20" s="3"/>
      <c r="C20" s="5"/>
      <c r="D20">
        <f>LOOKUP(C2,Reference!$A$2:$X$2,Reference!A$20:X$20)</f>
        <v>0</v>
      </c>
      <c r="H20" s="7"/>
      <c r="I20" s="11"/>
      <c r="J20" s="9"/>
      <c r="K20" s="16" t="s">
        <v>132</v>
      </c>
      <c r="L20">
        <f>IF(C13&gt;0.1,0.08,0)</f>
        <v>0.08</v>
      </c>
      <c r="M20">
        <f>IF(C20=424,MROUND(L20*L12/9,5),0)</f>
        <v>0</v>
      </c>
      <c r="N20" s="12"/>
      <c r="O20" s="11"/>
      <c r="P20" s="19"/>
      <c r="Q20" s="12" t="s">
        <v>116</v>
      </c>
      <c r="R20" s="11">
        <f>IF(A2=4,C11,0)</f>
        <v>0</v>
      </c>
      <c r="S20" s="9"/>
      <c r="T20">
        <f t="shared" si="11"/>
        <v>6.000059999999998</v>
      </c>
      <c r="U20">
        <f t="shared" si="12"/>
        <v>6</v>
      </c>
      <c r="V20" s="22">
        <f>LOOKUP(A2,Reference!$A$2:$X$2,Reference!$A$42:$X$42)</f>
        <v>0</v>
      </c>
      <c r="W20" s="22"/>
      <c r="X20" s="22">
        <f>LOOKUP(B2,Reference!$A$2:$X$2,Reference!$A$42:$X$42)</f>
        <v>0</v>
      </c>
      <c r="Y20" s="22">
        <f>LOOKUP(C2,Reference!$A$2:$X$2,Reference!$A$42:$X$42)</f>
        <v>0</v>
      </c>
      <c r="Z20" s="22"/>
      <c r="AA20" s="22">
        <f>LOOKUP(D2,Reference!$A$2:$X$2,Reference!$A$42:$X$42)</f>
        <v>0</v>
      </c>
      <c r="AB20" s="22"/>
      <c r="AC20" s="22"/>
      <c r="AD20" s="22"/>
      <c r="AE20" s="1">
        <f t="shared" si="3"/>
      </c>
      <c r="AF20" s="1">
        <f t="shared" si="4"/>
      </c>
      <c r="AG20" s="1">
        <f t="shared" si="5"/>
      </c>
      <c r="AH20" s="1">
        <f t="shared" si="6"/>
      </c>
      <c r="AI20" s="1">
        <f t="shared" si="7"/>
      </c>
      <c r="AJ20" s="1">
        <f t="shared" si="8"/>
      </c>
      <c r="AK20" s="1">
        <f t="shared" si="1"/>
      </c>
      <c r="AL20" s="1">
        <f t="shared" si="1"/>
      </c>
      <c r="AM20" s="1">
        <f t="shared" si="2"/>
      </c>
      <c r="AN20" s="1"/>
      <c r="AO20" s="27">
        <f>LOOKUP(F2,Reference!A$2:X$2,Reference!$A$42:$X$42)</f>
        <v>0</v>
      </c>
      <c r="AP20" s="30"/>
      <c r="AQ20" s="27">
        <f t="shared" si="9"/>
        <v>0</v>
      </c>
      <c r="AR20" s="1">
        <f t="shared" si="10"/>
      </c>
    </row>
    <row r="21" spans="1:44" ht="12.75">
      <c r="A21" s="3">
        <f>LOOKUP(A2,Reference!$A$2:$X$2,Reference!A$21:X$21)</f>
        <v>0</v>
      </c>
      <c r="B21" s="3"/>
      <c r="C21" s="5"/>
      <c r="D21">
        <f>LOOKUP(C2,Reference!$A$2:$X$2,Reference!A$21:X$21)</f>
        <v>0</v>
      </c>
      <c r="H21" s="7"/>
      <c r="I21" s="11"/>
      <c r="J21" s="9"/>
      <c r="K21" s="16" t="s">
        <v>101</v>
      </c>
      <c r="L21">
        <f>MROUND(L15/9,5)</f>
        <v>0</v>
      </c>
      <c r="N21" s="7"/>
      <c r="O21" s="11"/>
      <c r="P21" s="9"/>
      <c r="Q21" s="12" t="s">
        <v>117</v>
      </c>
      <c r="R21" s="11">
        <f>IF(A2=4,C10,0)</f>
        <v>0</v>
      </c>
      <c r="S21" s="9"/>
      <c r="V21" s="3" t="s">
        <v>98</v>
      </c>
      <c r="W21">
        <f>MROUND(SUM(R11,O11,L12,I11)/9,5)</f>
        <v>27490</v>
      </c>
      <c r="AO21" s="26"/>
      <c r="AP21" s="26"/>
      <c r="AQ21" s="26"/>
      <c r="AR21" s="1">
        <f>CONCATENATE(AH21,AI21,AJ21,AK21,,AM21,AN21)</f>
      </c>
    </row>
    <row r="22" spans="1:28" ht="12.75">
      <c r="A22" s="3">
        <f>LOOKUP(A2,Reference!$A$2:$X$2,Reference!C$22:X$22)</f>
        <v>0</v>
      </c>
      <c r="B22" s="3"/>
      <c r="C22" s="5"/>
      <c r="D22">
        <f>LOOKUP(C2,Reference!$A$2:$X$2,Reference!C$22:X$22)</f>
        <v>0</v>
      </c>
      <c r="H22" s="7"/>
      <c r="I22" s="11"/>
      <c r="J22" s="9"/>
      <c r="K22" s="12" t="s">
        <v>116</v>
      </c>
      <c r="L22">
        <f>IF(A2=2,C12,0)</f>
        <v>0</v>
      </c>
      <c r="N22" s="7"/>
      <c r="O22" s="11"/>
      <c r="P22" s="9"/>
      <c r="R22" s="11"/>
      <c r="S22" s="9"/>
      <c r="V22" s="3" t="s">
        <v>118</v>
      </c>
      <c r="W22">
        <f>R20+O17+L22+I17</f>
        <v>12945</v>
      </c>
      <c r="X22" s="3" t="s">
        <v>121</v>
      </c>
      <c r="Y22">
        <f>MROUND(W22/5280,0.01)</f>
        <v>2.45</v>
      </c>
      <c r="Z22" s="3" t="s">
        <v>120</v>
      </c>
      <c r="AB22" t="str">
        <f>CONCATENATE(V22,W22,X22,Y22,Z22)</f>
        <v>Length:  12945 Feet or 2.45 Mile(s)</v>
      </c>
    </row>
    <row r="23" spans="1:28" ht="12.75">
      <c r="A23" s="3">
        <f>LOOKUP(A2,Reference!$A$2:$X$2,Reference!A$23:X$23)</f>
        <v>0</v>
      </c>
      <c r="B23" s="3"/>
      <c r="C23" s="5"/>
      <c r="D23">
        <f>LOOKUP(C2,Reference!$A$2:$X$2,Reference!A$23:X$23)</f>
        <v>0</v>
      </c>
      <c r="H23" s="7"/>
      <c r="I23" s="11"/>
      <c r="J23" s="9"/>
      <c r="K23" s="12" t="s">
        <v>117</v>
      </c>
      <c r="L23">
        <f>IF(A2=2,C11,0)</f>
        <v>0</v>
      </c>
      <c r="N23" s="7"/>
      <c r="O23" s="11"/>
      <c r="P23" s="9"/>
      <c r="R23" s="11"/>
      <c r="S23" s="19"/>
      <c r="V23" s="3" t="s">
        <v>119</v>
      </c>
      <c r="W23">
        <f>R21+O18+L23+I18</f>
        <v>19</v>
      </c>
      <c r="X23" s="3" t="s">
        <v>122</v>
      </c>
      <c r="Y23" s="3" t="s">
        <v>123</v>
      </c>
      <c r="Z23" s="25">
        <f>W21</f>
        <v>27490</v>
      </c>
      <c r="AA23" s="3" t="s">
        <v>124</v>
      </c>
      <c r="AB23" t="str">
        <f>CONCATENATE(V23,W23,X23,Y23,Z23,AA23)</f>
        <v>Width:  19 Feet     (Approx. 27490 S.Y. including radius and driveway work)</v>
      </c>
    </row>
    <row r="24" spans="1:28" ht="12.75">
      <c r="A24" s="3">
        <f>LOOKUP(A2,Reference!$A$2:$X$2,Reference!A$24:X$24)</f>
        <v>0</v>
      </c>
      <c r="B24" s="3"/>
      <c r="C24" s="5"/>
      <c r="D24">
        <f>LOOKUP(C2,Reference!$A$2:$X$2,Reference!A$24:X$24)</f>
        <v>0</v>
      </c>
      <c r="H24" s="7">
        <f>IF(AND(A2=1,C14=424),"Type: ODOT Spec 424 Smooth Seal ","")</f>
      </c>
      <c r="I24" s="11" t="str">
        <f>IF(AND(A2=1,NOT(C14=424)),"Type: ODOT Spec 823 ","")</f>
        <v>Type: ODOT Spec 823 </v>
      </c>
      <c r="J24" s="9"/>
      <c r="K24" s="18">
        <f>IF(A2=2,"Type: ODOT Spec 448, with Spec 301 Widening ","")</f>
      </c>
      <c r="N24" s="7">
        <f>IF(A2=3,"Type: Chip Seal, 1997 ODOT Spec 409 ","")</f>
      </c>
      <c r="O24" s="11">
        <f>IF(O15&gt;0,"W/ Fog Seal","")</f>
      </c>
      <c r="P24" s="9"/>
      <c r="Q24">
        <f>IF(A2=4,"Type: Double Chip Seal, 1997 ODOT Spec 409 ","")</f>
      </c>
      <c r="R24" s="11">
        <f>IF(R18&gt;0,"W/ Fog Seal","")</f>
      </c>
      <c r="S24" s="9"/>
      <c r="V24" s="3">
        <f>IF(C7&gt;0,"W/ 617 Berm @ ","")</f>
      </c>
      <c r="W24" s="29">
        <f>IF(C7&gt;0,C7/12,"")</f>
      </c>
      <c r="X24" s="3">
        <f>IF(C7&gt;0," Feet Wide Each Side","")</f>
      </c>
      <c r="AB24" t="str">
        <f>CONCATENATE(H24,I24,J24,K24,L24,M24,N24,O24,P24,Q24,R24,S24,T24,U24,V24,W24,X24)</f>
        <v>Type: ODOT Spec 823 </v>
      </c>
    </row>
    <row r="32" spans="1:19" ht="12.75">
      <c r="A32" s="2" t="s">
        <v>133</v>
      </c>
      <c r="B32" s="3"/>
      <c r="C32" s="3" t="str">
        <f>"1 = Paving    2 = Paving-Widening     3= Chip Seal   4=Double Chip Seal"</f>
        <v>1 = Paving    2 = Paving-Widening     3= Chip Seal   4=Double Chip Seal</v>
      </c>
      <c r="I32">
        <f>I1</f>
        <v>1</v>
      </c>
      <c r="J32">
        <f>J1</f>
        <v>1.5</v>
      </c>
      <c r="L32">
        <f>L1</f>
        <v>2</v>
      </c>
      <c r="M32">
        <f>M1</f>
        <v>2.5</v>
      </c>
      <c r="O32">
        <f>O1</f>
        <v>3</v>
      </c>
      <c r="P32">
        <f>P1</f>
        <v>3.5</v>
      </c>
      <c r="R32">
        <f>R1</f>
        <v>4</v>
      </c>
      <c r="S32">
        <f>S1</f>
        <v>4.5</v>
      </c>
    </row>
    <row r="33" spans="1:19" ht="12.75">
      <c r="A33" s="6">
        <v>1</v>
      </c>
      <c r="B33" s="20">
        <f>A33+0.2</f>
        <v>1.2</v>
      </c>
      <c r="C33">
        <f>A33+0.5</f>
        <v>1.5</v>
      </c>
      <c r="D33">
        <f>A33+0.7</f>
        <v>1.7</v>
      </c>
      <c r="E33">
        <f>A33+0.8</f>
        <v>1.8</v>
      </c>
      <c r="F33">
        <f>A33+0.9</f>
        <v>1.9</v>
      </c>
      <c r="H33" s="7"/>
      <c r="I33" s="8" t="s">
        <v>37</v>
      </c>
      <c r="J33" s="9"/>
      <c r="K33" s="11"/>
      <c r="L33" t="s">
        <v>38</v>
      </c>
      <c r="N33" s="7"/>
      <c r="O33" s="8" t="s">
        <v>31</v>
      </c>
      <c r="P33" s="9"/>
      <c r="Q33" s="7"/>
      <c r="R33" s="8" t="s">
        <v>39</v>
      </c>
      <c r="S33" s="9"/>
    </row>
    <row r="34" spans="1:43" ht="12.75">
      <c r="A34" s="2" t="str">
        <f>LOOKUP(A33,Reference!$A$2:$S$2,Reference!A$3:S$3)</f>
        <v>Paving</v>
      </c>
      <c r="B34" s="2"/>
      <c r="H34" s="7"/>
      <c r="I34" s="10" t="s">
        <v>28</v>
      </c>
      <c r="J34" s="9"/>
      <c r="K34" s="11"/>
      <c r="L34" s="10" t="s">
        <v>28</v>
      </c>
      <c r="M34" s="11"/>
      <c r="N34" s="7"/>
      <c r="O34" s="10" t="s">
        <v>28</v>
      </c>
      <c r="P34" s="9"/>
      <c r="Q34" s="7"/>
      <c r="R34" s="10" t="s">
        <v>28</v>
      </c>
      <c r="S34" s="9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4" ht="12.75">
      <c r="A35" s="3" t="str">
        <f>LOOKUP(A33,Reference!$A$2:$X$2,Reference!A$4:X$4)</f>
        <v>Name</v>
      </c>
      <c r="B35" s="3"/>
      <c r="C35" s="4" t="s">
        <v>170</v>
      </c>
      <c r="D35" t="str">
        <f>"1st Length"</f>
        <v>1st Length</v>
      </c>
      <c r="E35" t="str">
        <f>"2nd Length"</f>
        <v>2nd Length</v>
      </c>
      <c r="F35" t="str">
        <f>"3rd Length"</f>
        <v>3rd Length</v>
      </c>
      <c r="G35" t="str">
        <f>"4th Length"</f>
        <v>4th Length</v>
      </c>
      <c r="H35" s="7"/>
      <c r="I35" s="11" t="s">
        <v>26</v>
      </c>
      <c r="J35" s="9" t="s">
        <v>50</v>
      </c>
      <c r="K35" s="11"/>
      <c r="L35" s="11" t="s">
        <v>26</v>
      </c>
      <c r="M35" s="8" t="s">
        <v>68</v>
      </c>
      <c r="N35" s="7"/>
      <c r="O35" s="11" t="s">
        <v>26</v>
      </c>
      <c r="P35" s="19" t="s">
        <v>67</v>
      </c>
      <c r="Q35" s="7"/>
      <c r="R35" s="11" t="s">
        <v>26</v>
      </c>
      <c r="S35" s="19" t="s">
        <v>67</v>
      </c>
      <c r="V35" s="23" t="s">
        <v>2</v>
      </c>
      <c r="W35" s="24" t="s">
        <v>86</v>
      </c>
      <c r="X35" s="24" t="s">
        <v>3</v>
      </c>
      <c r="Y35" s="24" t="s">
        <v>4</v>
      </c>
      <c r="Z35" s="21"/>
      <c r="AA35" s="22"/>
      <c r="AB35" s="22"/>
      <c r="AC35" s="22"/>
      <c r="AD35" s="2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7" t="s">
        <v>126</v>
      </c>
      <c r="AP35" s="27" t="s">
        <v>127</v>
      </c>
      <c r="AQ35" s="27" t="s">
        <v>128</v>
      </c>
      <c r="AR35" s="27" t="s">
        <v>4</v>
      </c>
    </row>
    <row r="36" spans="1:44" ht="12.75">
      <c r="A36" s="3" t="str">
        <f>LOOKUP(A33,Reference!$A$2:$X$2,Reference!A$5:X$5)</f>
        <v>Radii</v>
      </c>
      <c r="B36" s="3"/>
      <c r="C36" s="5"/>
      <c r="D36" t="str">
        <f>LOOKUP(C33,Reference!$A$2:$X$2,Reference!A$5:X$5)</f>
        <v>@ 10 SY Each</v>
      </c>
      <c r="H36" s="12" t="s">
        <v>47</v>
      </c>
      <c r="I36" s="11">
        <f>IF(A33=1,10*C36*9,0)</f>
        <v>0</v>
      </c>
      <c r="J36" s="9"/>
      <c r="K36" s="12" t="s">
        <v>47</v>
      </c>
      <c r="L36">
        <f>IF(A33=2,10*C36*9,0)</f>
        <v>0</v>
      </c>
      <c r="N36" s="12" t="s">
        <v>47</v>
      </c>
      <c r="O36" s="11">
        <f>IF(A33=3,10*C36*9,0)</f>
        <v>0</v>
      </c>
      <c r="P36" s="9"/>
      <c r="Q36" s="12" t="s">
        <v>47</v>
      </c>
      <c r="R36" s="11">
        <f>IF(A33=4,10*C36*9,0)</f>
        <v>0</v>
      </c>
      <c r="S36" s="9"/>
      <c r="T36">
        <f>IF(W36&gt;0,1,0)</f>
        <v>1</v>
      </c>
      <c r="U36">
        <f>T36</f>
        <v>1</v>
      </c>
      <c r="V36" s="22">
        <f>LOOKUP(A33,Reference!$A$2:$X$2,Reference!$A$27:$X$27)</f>
        <v>407</v>
      </c>
      <c r="W36" s="22">
        <f>IF(A33=1,J45+J46,0)+IF(A33=2,L48,0)+IF(A33=3,P44,0)+IF(A33=4,S44,0)</f>
        <v>1050</v>
      </c>
      <c r="X36" s="22" t="str">
        <f>LOOKUP(B33,Reference!$A$2:$X$2,Reference!$A$27:$X$27)</f>
        <v>Gal</v>
      </c>
      <c r="Y36" s="22" t="str">
        <f>LOOKUP(C33,Reference!$A$2:$X$2,Reference!$A$27:X$27)</f>
        <v>Bituminous Tack Coat applied at 0.05 gallons per square yard</v>
      </c>
      <c r="Z36" s="22">
        <f>IF(A33=3,O44,0)+IF(A33=4,R44,0)</f>
        <v>0</v>
      </c>
      <c r="AA36" s="22">
        <f>LOOKUP(D33,Reference!$A$2:$X$2,Reference!$A$27:$X$27)</f>
        <v>0</v>
      </c>
      <c r="AB36" s="22"/>
      <c r="AC36" s="22"/>
      <c r="AD36" s="22"/>
      <c r="AE36" s="1">
        <f aca="true" t="shared" si="13" ref="AE36:AJ36">IF(V36=0,"",V36)</f>
        <v>407</v>
      </c>
      <c r="AF36" s="1">
        <f t="shared" si="13"/>
        <v>1050</v>
      </c>
      <c r="AG36" s="1" t="str">
        <f t="shared" si="13"/>
        <v>Gal</v>
      </c>
      <c r="AH36" s="1" t="str">
        <f t="shared" si="13"/>
        <v>Bituminous Tack Coat applied at 0.05 gallons per square yard</v>
      </c>
      <c r="AI36" s="1">
        <f t="shared" si="13"/>
      </c>
      <c r="AJ36" s="1">
        <f t="shared" si="13"/>
      </c>
      <c r="AK36" s="1">
        <f aca="true" t="shared" si="14" ref="AK36:AK51">IF(AB36=0,"",AB36)</f>
      </c>
      <c r="AL36" s="1">
        <f aca="true" t="shared" si="15" ref="AL36:AL51">IF(AC36=0,"",AC36)</f>
      </c>
      <c r="AM36" s="1">
        <f aca="true" t="shared" si="16" ref="AM36:AM51">IF(AD36=0,"",AD36)</f>
      </c>
      <c r="AN36" s="1"/>
      <c r="AO36" s="27">
        <f>LOOKUP(F33,Reference!A$2:X$2,Reference!$A$27:$X$27)</f>
        <v>2.1</v>
      </c>
      <c r="AP36" s="30"/>
      <c r="AQ36" s="27">
        <f>IF(AP36&gt;0,AP36,AO36)</f>
        <v>2.1</v>
      </c>
      <c r="AR36" s="1" t="str">
        <f>CONCATENATE(AH36,AI36,AJ36,AK36,AL36,AM36,AN36)</f>
        <v>Bituminous Tack Coat applied at 0.05 gallons per square yard</v>
      </c>
    </row>
    <row r="37" spans="1:44" ht="12.75">
      <c r="A37" s="3" t="str">
        <f>LOOKUP(A33,Reference!$A$2:$X$2,Reference!A$6:X$6)</f>
        <v>Drives</v>
      </c>
      <c r="B37" s="3"/>
      <c r="C37" s="5">
        <v>30</v>
      </c>
      <c r="D37" t="str">
        <f>LOOKUP(C33,Reference!$A$2:$X$2,Reference!A$6:X$6)</f>
        <v>@ 4 SY Each</v>
      </c>
      <c r="H37" s="12" t="s">
        <v>17</v>
      </c>
      <c r="I37" s="11">
        <f>IF(A33=1,4*C37*9,0)</f>
        <v>1080</v>
      </c>
      <c r="J37" s="9"/>
      <c r="K37" s="12" t="s">
        <v>17</v>
      </c>
      <c r="L37">
        <f>IF(A33=2,4*C37*9,0)</f>
        <v>0</v>
      </c>
      <c r="N37" s="12" t="s">
        <v>17</v>
      </c>
      <c r="O37" s="11">
        <f>IF(A33=3,4*C37*9,0)</f>
        <v>0</v>
      </c>
      <c r="P37" s="9"/>
      <c r="Q37" s="12" t="s">
        <v>17</v>
      </c>
      <c r="R37" s="11">
        <f>IF(A33=4,4*C37*9,0)</f>
        <v>0</v>
      </c>
      <c r="S37" s="9"/>
      <c r="T37">
        <f>IF(W37&gt;0,U36+1,T36+0.00001)</f>
        <v>1.00001</v>
      </c>
      <c r="U37">
        <f>IF(T37&gt;U36+0.5,U36+1,U36)</f>
        <v>1</v>
      </c>
      <c r="V37" s="22">
        <f>LOOKUP(A33,Reference!$A$2:$X$2,Reference!$A$28:$X$28)</f>
        <v>823</v>
      </c>
      <c r="W37" s="22">
        <f>IF(A33=1,J43,0)+IF(A33=2,M46,0)+IF(A33=3,P43,0)+IF(A33=4,S46,0)</f>
        <v>0</v>
      </c>
      <c r="X37" s="22" t="str">
        <f>LOOKUP(B33,Reference!$A$2:$X$2,Reference!$A$28:$X$28)</f>
        <v>C.Y.</v>
      </c>
      <c r="Y37" s="22" t="str">
        <f>LOOKUP(C33,Reference!$A$2:$X$2,Reference!$A$28:$X$28)</f>
        <v>Asphalt intermediate course PG 64-22, Type 1 (823) applied, spread and compacted at the average depth of </v>
      </c>
      <c r="Z37" s="22">
        <f>IF(A33=1,C43,0)+IF(A33=2,C46,0)+IF(A33=3,O45,0)+IF(A33=4,R45,0)</f>
        <v>0</v>
      </c>
      <c r="AA37" s="22" t="str">
        <f>LOOKUP(D33,Reference!$A$2:$X$2,Reference!$A$28:$X$28)</f>
        <v> inches</v>
      </c>
      <c r="AB37" s="22">
        <f>IF(A33=3,O43,0)+IF(A33=4,R43,0)</f>
        <v>0</v>
      </c>
      <c r="AC37" s="22">
        <f>IF(A33=2,C50,0)</f>
        <v>0</v>
      </c>
      <c r="AD37" s="22">
        <f>LOOKUP(E33,Reference!$A$2:$X$2,Reference!$A$28:$X$28)</f>
        <v>0</v>
      </c>
      <c r="AE37" s="1">
        <f aca="true" t="shared" si="17" ref="AE37:AE51">IF(V37=0,"",V37)</f>
        <v>823</v>
      </c>
      <c r="AF37" s="1">
        <f aca="true" t="shared" si="18" ref="AF37:AF51">IF(W37=0,"",W37)</f>
      </c>
      <c r="AG37" s="1" t="str">
        <f aca="true" t="shared" si="19" ref="AG37:AG51">IF(X37=0,"",X37)</f>
        <v>C.Y.</v>
      </c>
      <c r="AH37" s="1" t="str">
        <f aca="true" t="shared" si="20" ref="AH37:AH51">IF(Y37=0,"",Y37)</f>
        <v>Asphalt intermediate course PG 64-22, Type 1 (823) applied, spread and compacted at the average depth of </v>
      </c>
      <c r="AI37" s="1">
        <f aca="true" t="shared" si="21" ref="AI37:AI51">IF(Z37=0,"",Z37)</f>
      </c>
      <c r="AJ37" s="1" t="str">
        <f aca="true" t="shared" si="22" ref="AJ37:AJ51">IF(AA37=0,"",AA37)</f>
        <v> inches</v>
      </c>
      <c r="AK37" s="1">
        <f t="shared" si="14"/>
      </c>
      <c r="AL37" s="1">
        <f t="shared" si="15"/>
      </c>
      <c r="AM37" s="1">
        <f t="shared" si="16"/>
      </c>
      <c r="AN37" s="1"/>
      <c r="AO37" s="27">
        <f>LOOKUP(F33,Reference!A$2:X$2,Reference!$A$28:$X$28)</f>
        <v>150</v>
      </c>
      <c r="AP37" s="30"/>
      <c r="AQ37" s="27">
        <f aca="true" t="shared" si="23" ref="AQ37:AQ51">IF(AP37&gt;0,AP37,AO37)</f>
        <v>150</v>
      </c>
      <c r="AR37" s="1" t="str">
        <f aca="true" t="shared" si="24" ref="AR37:AR51">CONCATENATE(AH37,AI37,AJ37,AK37,AL37,AM37,AN37)</f>
        <v>Asphalt intermediate course PG 64-22, Type 1 (823) applied, spread and compacted at the average depth of  inches</v>
      </c>
    </row>
    <row r="38" spans="1:44" ht="12.75">
      <c r="A38" s="3" t="str">
        <f>LOOKUP(A33,Reference!$A$2:$X$2,Reference!A$7:X$7)</f>
        <v>Berm (Per Side)</v>
      </c>
      <c r="B38" s="3"/>
      <c r="C38" s="5"/>
      <c r="D38" t="str">
        <f>LOOKUP(C33,Reference!$A$2:$X$2,Reference!A$7:X$7)</f>
        <v>inches</v>
      </c>
      <c r="H38" s="12" t="s">
        <v>18</v>
      </c>
      <c r="I38" s="11">
        <f>IF(A33=1,C38*2*C42/12,0)</f>
        <v>0</v>
      </c>
      <c r="J38" s="9">
        <f>MROUND(I38*C39/12*1/27+0.4,1)</f>
        <v>0</v>
      </c>
      <c r="K38" s="12" t="s">
        <v>18</v>
      </c>
      <c r="L38">
        <f>IF(A33=2,C38*2*C43/12,0)</f>
        <v>0</v>
      </c>
      <c r="M38">
        <f>MROUND(L38*C39/12*1/27+0.4,1)</f>
        <v>0</v>
      </c>
      <c r="N38" s="12" t="s">
        <v>18</v>
      </c>
      <c r="O38" s="11">
        <f>IF(A33=3,C38*2*C42/12,0)</f>
        <v>0</v>
      </c>
      <c r="P38" s="9">
        <f>MROUND(O38*C39/12*1/27+0.4,1)</f>
        <v>0</v>
      </c>
      <c r="Q38" s="12" t="s">
        <v>18</v>
      </c>
      <c r="R38" s="11">
        <f>IF(A33=4,C38*2*C42/12,0)</f>
        <v>0</v>
      </c>
      <c r="S38" s="9">
        <f>MROUND(R38*C39/12*1/27+0.4,1)</f>
        <v>0</v>
      </c>
      <c r="T38">
        <f aca="true" t="shared" si="25" ref="T38:T51">IF(W38&gt;0,U37+1,T37+0.00001)</f>
        <v>2</v>
      </c>
      <c r="U38">
        <f aca="true" t="shared" si="26" ref="U38:U51">IF(T38&gt;U37+0.5,U37+1,U37)</f>
        <v>2</v>
      </c>
      <c r="V38" s="22">
        <f>LOOKUP(A33,Reference!$A$2:$X$2,Reference!$A$29:$X$29)</f>
        <v>823</v>
      </c>
      <c r="W38" s="22">
        <f>IF(AND(A33=1,NOT(C45=424)),J44,0)+IF(A33=2,L52,0)+IF(A33=3,P46,0)+IF(A33=4,S47,0)</f>
        <v>876</v>
      </c>
      <c r="X38" s="22" t="str">
        <f>LOOKUP(B33,Reference!$A$2:$X$2,Reference!$A$29:$X$29)</f>
        <v>C.Y.</v>
      </c>
      <c r="Y38" s="22" t="str">
        <f>LOOKUP(C33,Reference!$A$2:$X$2,Reference!$A$29:$X$29)</f>
        <v>Asphalt concrete surface course PG 64-22, Type 1 (823) applied, spread and compacted at the average depth of </v>
      </c>
      <c r="Z38" s="22">
        <f>IF(AND(A33=1,NOT(C45=424)),C44,0)+IF(A33=4,R47,0)</f>
        <v>1.5</v>
      </c>
      <c r="AA38" s="22" t="str">
        <f>LOOKUP(D33,Reference!$A$2:$X$2,Reference!$A$29:$X$29)</f>
        <v> inches</v>
      </c>
      <c r="AB38" s="22"/>
      <c r="AC38" s="22"/>
      <c r="AD38" s="22"/>
      <c r="AE38" s="1">
        <f t="shared" si="17"/>
        <v>823</v>
      </c>
      <c r="AF38" s="1">
        <f t="shared" si="18"/>
        <v>876</v>
      </c>
      <c r="AG38" s="1" t="str">
        <f t="shared" si="19"/>
        <v>C.Y.</v>
      </c>
      <c r="AH38" s="1" t="str">
        <f t="shared" si="20"/>
        <v>Asphalt concrete surface course PG 64-22, Type 1 (823) applied, spread and compacted at the average depth of </v>
      </c>
      <c r="AI38" s="1">
        <f t="shared" si="21"/>
        <v>1.5</v>
      </c>
      <c r="AJ38" s="1" t="str">
        <f t="shared" si="22"/>
        <v> inches</v>
      </c>
      <c r="AK38" s="1">
        <f t="shared" si="14"/>
      </c>
      <c r="AL38" s="1">
        <f t="shared" si="15"/>
      </c>
      <c r="AM38" s="1">
        <f t="shared" si="16"/>
      </c>
      <c r="AN38" s="1"/>
      <c r="AO38" s="27">
        <f>LOOKUP(F33,Reference!A$2:X$2,Reference!$A$29:$X$29)</f>
        <v>150</v>
      </c>
      <c r="AP38" s="30">
        <v>185</v>
      </c>
      <c r="AQ38" s="27">
        <f t="shared" si="23"/>
        <v>185</v>
      </c>
      <c r="AR38" s="1" t="str">
        <f t="shared" si="24"/>
        <v>Asphalt concrete surface course PG 64-22, Type 1 (823) applied, spread and compacted at the average depth of 1.5 inches</v>
      </c>
    </row>
    <row r="39" spans="1:44" ht="12.75">
      <c r="A39" s="3" t="str">
        <f>LOOKUP(A33,Reference!$A$2:$X$2,Reference!A$8:X$8)</f>
        <v>Berm Depth</v>
      </c>
      <c r="B39" s="3"/>
      <c r="C39" s="5"/>
      <c r="D39" t="str">
        <f>LOOKUP(C33,Reference!$A$2:$X$2,Reference!A$8:X$8)</f>
        <v>inches</v>
      </c>
      <c r="H39" s="12"/>
      <c r="I39" s="11"/>
      <c r="J39" s="9"/>
      <c r="K39" s="11"/>
      <c r="N39" s="7"/>
      <c r="O39" s="11"/>
      <c r="P39" s="9"/>
      <c r="R39" s="11"/>
      <c r="S39" s="9"/>
      <c r="T39">
        <f t="shared" si="25"/>
        <v>2.00001</v>
      </c>
      <c r="U39">
        <f t="shared" si="26"/>
        <v>2</v>
      </c>
      <c r="V39" s="22">
        <f>LOOKUP(A33,Reference!$A$2:$X$2,Reference!$A$30:$X$30)</f>
        <v>407</v>
      </c>
      <c r="W39" s="22">
        <f>+IF(A33=2,M46,0)+IF(A33=3,P38,0)+IF(A33=4,S46,0)+IF(A33=1,J47,0)</f>
        <v>0</v>
      </c>
      <c r="X39" s="22" t="str">
        <f>LOOKUP(B33,Reference!$A$2:$X$2,Reference!$A$30:$X$30)</f>
        <v>Gal</v>
      </c>
      <c r="Y39" s="22" t="str">
        <f>LOOKUP(C33,Reference!$A$2:$X$2,Reference!$A$30:$X$30)</f>
        <v>Rubberized Latex Tack Coat (0.08 Gal./S.Y.)</v>
      </c>
      <c r="Z39" s="22">
        <f>IF(A33=2,C47,0)+IF(A33=3,C39,0)+IF(A33=4,R48,0)</f>
        <v>0</v>
      </c>
      <c r="AA39" s="22">
        <f>LOOKUP(D33,Reference!$A$2:$X$2,Reference!$A$30:$X$30)</f>
        <v>0</v>
      </c>
      <c r="AB39" s="22">
        <f>IF(A33=4,R46,0)</f>
        <v>0</v>
      </c>
      <c r="AC39" s="22"/>
      <c r="AD39" s="22">
        <f>LOOKUP(E33,Reference!$A$2:$X$2,Reference!$A$30:$X$30)</f>
        <v>0</v>
      </c>
      <c r="AE39" s="1">
        <f t="shared" si="17"/>
        <v>407</v>
      </c>
      <c r="AF39" s="1">
        <f t="shared" si="18"/>
      </c>
      <c r="AG39" s="1" t="str">
        <f t="shared" si="19"/>
        <v>Gal</v>
      </c>
      <c r="AH39" s="1" t="str">
        <f t="shared" si="20"/>
        <v>Rubberized Latex Tack Coat (0.08 Gal./S.Y.)</v>
      </c>
      <c r="AI39" s="1">
        <f t="shared" si="21"/>
      </c>
      <c r="AJ39" s="1">
        <f t="shared" si="22"/>
      </c>
      <c r="AK39" s="1">
        <f t="shared" si="14"/>
      </c>
      <c r="AL39" s="1">
        <f t="shared" si="15"/>
      </c>
      <c r="AM39" s="1">
        <f t="shared" si="16"/>
      </c>
      <c r="AN39" s="1"/>
      <c r="AO39" s="27">
        <f>LOOKUP(F33,Reference!A$2:X$2,Reference!$A$30:$X$30)</f>
        <v>3.5</v>
      </c>
      <c r="AP39" s="30"/>
      <c r="AQ39" s="27">
        <f t="shared" si="23"/>
        <v>3.5</v>
      </c>
      <c r="AR39" s="1" t="str">
        <f t="shared" si="24"/>
        <v>Rubberized Latex Tack Coat (0.08 Gal./S.Y.)</v>
      </c>
    </row>
    <row r="40" spans="1:44" ht="12.75">
      <c r="A40" s="3" t="str">
        <f>LOOKUP(A33,Reference!$A$2:$X$2,Reference!A$9:X$9)</f>
        <v>Pavement Planing</v>
      </c>
      <c r="B40" s="3"/>
      <c r="C40" s="5">
        <v>80</v>
      </c>
      <c r="D40" s="5"/>
      <c r="E40" s="5"/>
      <c r="F40" s="5"/>
      <c r="G40" s="5"/>
      <c r="H40" s="7" t="s">
        <v>52</v>
      </c>
      <c r="I40" s="11">
        <f>IF(A33=1,C40,0)</f>
        <v>80</v>
      </c>
      <c r="J40" s="9">
        <f>IF(A33=1,SUM(D40:G40),0)</f>
        <v>0</v>
      </c>
      <c r="K40" s="7" t="s">
        <v>52</v>
      </c>
      <c r="L40" s="11">
        <f>IF(A33=2,C40,0)</f>
        <v>0</v>
      </c>
      <c r="M40" s="11">
        <f>IF(A33=2,SUM(D40:G40),0)</f>
        <v>0</v>
      </c>
      <c r="N40" s="7"/>
      <c r="O40" s="11"/>
      <c r="P40" s="9"/>
      <c r="R40" s="11"/>
      <c r="S40" s="9"/>
      <c r="T40">
        <f t="shared" si="25"/>
        <v>2.00002</v>
      </c>
      <c r="U40">
        <f t="shared" si="26"/>
        <v>2</v>
      </c>
      <c r="V40" s="22">
        <f>LOOKUP(A33,Reference!$A$2:$X$2,Reference!$A$31:$X$31)</f>
        <v>424</v>
      </c>
      <c r="W40" s="22">
        <f>IF(A33=2,M49+M50,0)+IF(AND(C42&gt;0,A33=3),1,0)+IF(A33=4,S49,0)+IF(AND(A33=1,C45=424),J44,0)</f>
        <v>0</v>
      </c>
      <c r="X40" s="22" t="str">
        <f>LOOKUP(B33,Reference!$A$2:$X$2,Reference!$A$31:$X$31)</f>
        <v>C.Y.</v>
      </c>
      <c r="Y40" s="22" t="str">
        <f>LOOKUP(C33,Reference!$A$2:$X$2,Reference!$A$31:$X$31)</f>
        <v>Type B Smooth Seal Asphalt PG76-22, spread and compacted at the average depth of </v>
      </c>
      <c r="Z40" s="28">
        <f>IF(AND(A33=1,C45=424),C44,0)</f>
        <v>0</v>
      </c>
      <c r="AA40" s="22" t="str">
        <f>LOOKUP(D33,Reference!$A$2:$X$2,Reference!$A$31:$X$31)</f>
        <v> inches</v>
      </c>
      <c r="AB40" s="22"/>
      <c r="AC40" s="22"/>
      <c r="AD40" s="22"/>
      <c r="AE40" s="1">
        <f t="shared" si="17"/>
        <v>424</v>
      </c>
      <c r="AF40" s="1">
        <f t="shared" si="18"/>
      </c>
      <c r="AG40" s="1" t="str">
        <f t="shared" si="19"/>
        <v>C.Y.</v>
      </c>
      <c r="AH40" s="1" t="str">
        <f t="shared" si="20"/>
        <v>Type B Smooth Seal Asphalt PG76-22, spread and compacted at the average depth of </v>
      </c>
      <c r="AI40" s="1">
        <f t="shared" si="21"/>
      </c>
      <c r="AJ40" s="1" t="str">
        <f t="shared" si="22"/>
        <v> inches</v>
      </c>
      <c r="AK40" s="1">
        <f t="shared" si="14"/>
      </c>
      <c r="AL40" s="1">
        <f t="shared" si="15"/>
      </c>
      <c r="AM40" s="1">
        <f t="shared" si="16"/>
      </c>
      <c r="AN40" s="1"/>
      <c r="AO40" s="27">
        <f>LOOKUP(F33,Reference!A$2:X$2,Reference!$A$31:$X$31)</f>
        <v>210</v>
      </c>
      <c r="AP40" s="30"/>
      <c r="AQ40" s="27">
        <f t="shared" si="23"/>
        <v>210</v>
      </c>
      <c r="AR40" s="1" t="str">
        <f t="shared" si="24"/>
        <v>Type B Smooth Seal Asphalt PG76-22, spread and compacted at the average depth of  inches</v>
      </c>
    </row>
    <row r="41" spans="1:44" ht="12.75">
      <c r="A41" s="3" t="str">
        <f>LOOKUP(A33,Reference!$A$2:$X$2,Reference!A$10:X$10)</f>
        <v>Pavement Width</v>
      </c>
      <c r="B41" s="3"/>
      <c r="C41" s="5">
        <v>19</v>
      </c>
      <c r="D41" t="str">
        <f>LOOKUP(C33,Reference!$A$2:$X$2,Reference!A$10:X$10)</f>
        <v>feet</v>
      </c>
      <c r="H41" s="12" t="s">
        <v>48</v>
      </c>
      <c r="I41" s="11">
        <f>IF(A33=1,C41*C42,0)</f>
        <v>188100</v>
      </c>
      <c r="J41" s="9"/>
      <c r="K41" s="14" t="s">
        <v>53</v>
      </c>
      <c r="L41">
        <f>IF(A33=2,C41,0)</f>
        <v>0</v>
      </c>
      <c r="N41" s="17" t="s">
        <v>48</v>
      </c>
      <c r="O41" s="11">
        <f>IF(A33=3,C41*C42,0)</f>
        <v>0</v>
      </c>
      <c r="P41" s="9"/>
      <c r="Q41" s="17" t="s">
        <v>48</v>
      </c>
      <c r="R41" s="11">
        <f>IF(A33=4,C41*C42,0)</f>
        <v>0</v>
      </c>
      <c r="S41" s="9"/>
      <c r="T41">
        <f t="shared" si="25"/>
        <v>2.00003</v>
      </c>
      <c r="U41">
        <f t="shared" si="26"/>
        <v>2</v>
      </c>
      <c r="V41" s="22">
        <f>LOOKUP(A33,Reference!$A$2:$X$2,Reference!$A$32:$X$32)</f>
        <v>617</v>
      </c>
      <c r="W41" s="22">
        <f>IF(A33=2,M44,0)+IF(AND(C42&gt;0,A33=3),1,0)+IF(A33=4,S38,0)+IF(A33=1,J38,0)</f>
        <v>0</v>
      </c>
      <c r="X41" s="22" t="str">
        <f>LOOKUP(B33,Reference!$A$2:$X$2,Reference!$A$32:$X$32)</f>
        <v>C.Y.</v>
      </c>
      <c r="Y41" s="22" t="str">
        <f>LOOKUP(C33,Reference!$A$2:$X$2,Reference!$A$32:$X$32)</f>
        <v>Stabilized crushed aggregate berm in place and compacted at the average depth of </v>
      </c>
      <c r="Z41" s="22">
        <f>IF(A33=2,C44,0)+IF(A33=4,C39,0)+IF(A33=1,C39,0)</f>
        <v>0</v>
      </c>
      <c r="AA41" s="22" t="str">
        <f>LOOKUP(D33,Reference!$A$2:$X$2,Reference!$A$32:$X$32)</f>
        <v> inches</v>
      </c>
      <c r="AB41" s="22"/>
      <c r="AC41" s="22"/>
      <c r="AD41" s="22"/>
      <c r="AE41" s="1">
        <f t="shared" si="17"/>
        <v>617</v>
      </c>
      <c r="AF41" s="1">
        <f t="shared" si="18"/>
      </c>
      <c r="AG41" s="1" t="str">
        <f t="shared" si="19"/>
        <v>C.Y.</v>
      </c>
      <c r="AH41" s="1" t="str">
        <f t="shared" si="20"/>
        <v>Stabilized crushed aggregate berm in place and compacted at the average depth of </v>
      </c>
      <c r="AI41" s="1">
        <f t="shared" si="21"/>
      </c>
      <c r="AJ41" s="1" t="str">
        <f t="shared" si="22"/>
        <v> inches</v>
      </c>
      <c r="AK41" s="1">
        <f t="shared" si="14"/>
      </c>
      <c r="AL41" s="1">
        <f t="shared" si="15"/>
      </c>
      <c r="AM41" s="1">
        <f t="shared" si="16"/>
      </c>
      <c r="AN41" s="1"/>
      <c r="AO41" s="27">
        <f>LOOKUP(F33,Reference!A$2:X$2,Reference!$A$32:$X$32)</f>
        <v>58</v>
      </c>
      <c r="AP41" s="30"/>
      <c r="AQ41" s="27">
        <f t="shared" si="23"/>
        <v>58</v>
      </c>
      <c r="AR41" s="1" t="str">
        <f t="shared" si="24"/>
        <v>Stabilized crushed aggregate berm in place and compacted at the average depth of  inches</v>
      </c>
    </row>
    <row r="42" spans="1:44" ht="12.75">
      <c r="A42" s="3" t="str">
        <f>LOOKUP(A33,Reference!$A$2:$X$2,Reference!A$11:X$11)</f>
        <v>Pavement Length</v>
      </c>
      <c r="B42" s="3"/>
      <c r="C42" s="5">
        <v>9900</v>
      </c>
      <c r="D42" t="str">
        <f>LOOKUP(C33,Reference!$A$2:$X$2,Reference!A$11:X$11)</f>
        <v>feet</v>
      </c>
      <c r="H42" s="12" t="s">
        <v>46</v>
      </c>
      <c r="I42" s="11">
        <f>IF(A33=1,I41+I37+I36,0)</f>
        <v>189180</v>
      </c>
      <c r="J42" s="9"/>
      <c r="K42" s="12" t="s">
        <v>48</v>
      </c>
      <c r="L42">
        <f>IF(A33=2,C42*C43,0)</f>
        <v>0</v>
      </c>
      <c r="N42" s="17" t="s">
        <v>46</v>
      </c>
      <c r="O42" s="11">
        <f>O41+O36+O37</f>
        <v>0</v>
      </c>
      <c r="P42" s="9"/>
      <c r="Q42" s="17" t="s">
        <v>46</v>
      </c>
      <c r="R42" s="11">
        <f>R41+R36+R37</f>
        <v>0</v>
      </c>
      <c r="S42" s="9"/>
      <c r="T42">
        <f t="shared" si="25"/>
        <v>3</v>
      </c>
      <c r="U42">
        <f t="shared" si="26"/>
        <v>3</v>
      </c>
      <c r="V42" s="22">
        <f>LOOKUP(A33,Reference!$A$2:$X$2,Reference!$A$33:$X$33)</f>
        <v>254</v>
      </c>
      <c r="W42" s="22">
        <f>IF(AND(A33=2,NOT(C51=424)),M45,0)+IF(AND(C42&gt;0,A33=3),1,0)+IF(AND(C42&gt;0,A33=4),1,0)+IF(A33=1,I40,0)</f>
        <v>80</v>
      </c>
      <c r="X42" s="22" t="str">
        <f>LOOKUP(B33,Reference!$A$2:$X$2,Reference!$A$33:$X$33)</f>
        <v>S.Y.</v>
      </c>
      <c r="Y42" s="22" t="str">
        <f>LOOKUP(C33,Reference!$A$2:$X$2,Reference!$A$33:$X$33)</f>
        <v>Pavement Planing</v>
      </c>
      <c r="Z42" s="22">
        <f>IF(AND(A33=2,NOT(C51=424)),C45,0)+IF(A33=1,J40,0)</f>
        <v>0</v>
      </c>
      <c r="AA42" s="22" t="str">
        <f>LOOKUP(D33,Reference!$A$2:$X$2,Reference!$A$33:$X$33)</f>
        <v> (20' length including radius)</v>
      </c>
      <c r="AB42" s="22"/>
      <c r="AC42" s="22"/>
      <c r="AD42" s="22"/>
      <c r="AE42" s="1">
        <f t="shared" si="17"/>
        <v>254</v>
      </c>
      <c r="AF42" s="1">
        <f t="shared" si="18"/>
        <v>80</v>
      </c>
      <c r="AG42" s="1" t="str">
        <f t="shared" si="19"/>
        <v>S.Y.</v>
      </c>
      <c r="AH42" s="1" t="str">
        <f t="shared" si="20"/>
        <v>Pavement Planing</v>
      </c>
      <c r="AI42" s="1">
        <f t="shared" si="21"/>
      </c>
      <c r="AJ42" s="1" t="str">
        <f t="shared" si="22"/>
        <v> (20' length including radius)</v>
      </c>
      <c r="AK42" s="1">
        <f t="shared" si="14"/>
      </c>
      <c r="AL42" s="1">
        <f t="shared" si="15"/>
      </c>
      <c r="AM42" s="1">
        <f t="shared" si="16"/>
      </c>
      <c r="AN42" s="1"/>
      <c r="AO42" s="27">
        <f>LOOKUP(F33,Reference!A$2:X$2,Reference!$A$33:$X$33)</f>
        <v>15</v>
      </c>
      <c r="AP42" s="30">
        <v>12</v>
      </c>
      <c r="AQ42" s="27">
        <f t="shared" si="23"/>
        <v>12</v>
      </c>
      <c r="AR42" s="1" t="str">
        <f t="shared" si="24"/>
        <v>Pavement Planing (20' length including radius)</v>
      </c>
    </row>
    <row r="43" spans="1:44" ht="12.75">
      <c r="A43" s="3" t="str">
        <f>LOOKUP(A33,Reference!$A$2:$X$2,Reference!A$12:X$12)</f>
        <v>Intermediate Course</v>
      </c>
      <c r="B43" s="3"/>
      <c r="C43" s="5"/>
      <c r="D43" t="str">
        <f>LOOKUP(C33,Reference!$A$2:$X$2,Reference!A$12:X$12)</f>
        <v>inches</v>
      </c>
      <c r="H43" s="7"/>
      <c r="I43" s="11"/>
      <c r="J43" s="13">
        <f>MROUND(I42*C43/12*1/27+0.4,1)</f>
        <v>0</v>
      </c>
      <c r="K43" s="12" t="s">
        <v>46</v>
      </c>
      <c r="L43">
        <f>IF(A33=2,L36+L37+L41+L42,0)</f>
        <v>0</v>
      </c>
      <c r="N43" s="18" t="s">
        <v>70</v>
      </c>
      <c r="O43" s="8">
        <f>IF(A33=3,C43,0)</f>
        <v>0</v>
      </c>
      <c r="P43" s="9">
        <f>MROUND(O42/9*O43/2400+2,5)</f>
        <v>0</v>
      </c>
      <c r="Q43" s="18" t="s">
        <v>77</v>
      </c>
      <c r="R43" s="8">
        <f>IF(A33=4,C43,0)</f>
        <v>0</v>
      </c>
      <c r="S43" s="9">
        <f>MROUND(R42/9*R43/2400+2,5)</f>
        <v>0</v>
      </c>
      <c r="T43">
        <f t="shared" si="25"/>
        <v>4</v>
      </c>
      <c r="U43">
        <f t="shared" si="26"/>
        <v>4</v>
      </c>
      <c r="V43" s="22">
        <f>LOOKUP(A33,Reference!$A$2:$X$2,Reference!$A$34:$X$34)</f>
        <v>614</v>
      </c>
      <c r="W43" s="22">
        <f>IF(AND(C42&gt;0,A33=1),1,0)+IF(AND(C42&gt;0,A33=4),1,0)+IF(A33=2,M51,0)</f>
        <v>1</v>
      </c>
      <c r="X43" s="22" t="str">
        <f>LOOKUP(B33,Reference!$A$2:$X$2,Reference!$A$34:$X$34)</f>
        <v>L.S.</v>
      </c>
      <c r="Y43" s="22" t="str">
        <f>LOOKUP(C33,Reference!$A$2:$X$2,Reference!$A$34:$X$34)</f>
        <v>Maintaining Traffic</v>
      </c>
      <c r="Z43" s="22"/>
      <c r="AA43" s="22">
        <f>LOOKUP(D33,Reference!$A$2:$X$2,Reference!$A$34:$X$34)</f>
        <v>0</v>
      </c>
      <c r="AB43" s="22"/>
      <c r="AC43" s="22"/>
      <c r="AD43" s="22"/>
      <c r="AE43" s="1">
        <f t="shared" si="17"/>
        <v>614</v>
      </c>
      <c r="AF43" s="1">
        <f t="shared" si="18"/>
        <v>1</v>
      </c>
      <c r="AG43" s="1" t="str">
        <f t="shared" si="19"/>
        <v>L.S.</v>
      </c>
      <c r="AH43" s="1" t="str">
        <f t="shared" si="20"/>
        <v>Maintaining Traffic</v>
      </c>
      <c r="AI43" s="1">
        <f t="shared" si="21"/>
      </c>
      <c r="AJ43" s="1">
        <f t="shared" si="22"/>
      </c>
      <c r="AK43" s="1">
        <f t="shared" si="14"/>
      </c>
      <c r="AL43" s="1">
        <f t="shared" si="15"/>
      </c>
      <c r="AM43" s="1">
        <f t="shared" si="16"/>
      </c>
      <c r="AN43" s="1"/>
      <c r="AO43" s="27">
        <f>LOOKUP(F33,Reference!A$2:X$2,Reference!$A$34:$X$34)</f>
        <v>2000</v>
      </c>
      <c r="AP43" s="30">
        <v>3000</v>
      </c>
      <c r="AQ43" s="27">
        <f t="shared" si="23"/>
        <v>3000</v>
      </c>
      <c r="AR43" s="1" t="str">
        <f t="shared" si="24"/>
        <v>Maintaining Traffic</v>
      </c>
    </row>
    <row r="44" spans="1:44" ht="12.75">
      <c r="A44" s="3" t="str">
        <f>LOOKUP(A33,Reference!$A$2:$X$2,Reference!A$13:X$13)</f>
        <v>Surface Course</v>
      </c>
      <c r="B44" s="3"/>
      <c r="C44" s="5">
        <v>1.5</v>
      </c>
      <c r="D44" t="str">
        <f>LOOKUP(C33,Reference!$A$2:$X$2,Reference!A$13:X$13)</f>
        <v>inches</v>
      </c>
      <c r="H44" s="7"/>
      <c r="I44" s="11"/>
      <c r="J44" s="13">
        <f>MROUND(I42*C44/12*1/27+0.4,1)</f>
        <v>876</v>
      </c>
      <c r="K44" s="3" t="s">
        <v>54</v>
      </c>
      <c r="M44">
        <f>MROUND(L43*C44/12*1/27,1)</f>
        <v>0</v>
      </c>
      <c r="N44" s="18" t="s">
        <v>64</v>
      </c>
      <c r="O44" s="11">
        <f>IF(A33=3,C44,0)</f>
        <v>0</v>
      </c>
      <c r="P44" s="9">
        <f>MROUND(O44*O42/9+2.4,5)</f>
        <v>0</v>
      </c>
      <c r="Q44" s="18" t="s">
        <v>78</v>
      </c>
      <c r="R44" s="11">
        <f>IF(A33=4,C44,0)</f>
        <v>0</v>
      </c>
      <c r="S44" s="9">
        <f>MROUND(R44*R42/9+2.4,5)</f>
        <v>0</v>
      </c>
      <c r="T44">
        <f t="shared" si="25"/>
        <v>5</v>
      </c>
      <c r="U44">
        <f t="shared" si="26"/>
        <v>5</v>
      </c>
      <c r="V44" s="22">
        <f>LOOKUP(A33,Reference!$A$2:$X$2,Reference!$A$35:$X$35)</f>
        <v>624</v>
      </c>
      <c r="W44" s="22">
        <f>IF(AND(C42&gt;0,A33=1),1,0)+IF(AND(C42&gt;0,A33=4),1,0)+IF(AND(A33=2,C51=424),M45,0)</f>
        <v>1</v>
      </c>
      <c r="X44" s="22" t="str">
        <f>LOOKUP(B33,Reference!$A$2:$X$2,Reference!$A$35:$X$35)</f>
        <v>L.S.</v>
      </c>
      <c r="Y44" s="22" t="str">
        <f>LOOKUP(C33,Reference!$A$2:$X$2,Reference!$A$35:$X$35)</f>
        <v>Mobilization</v>
      </c>
      <c r="Z44" s="22">
        <f>IF(AND(A33=2,C51=424),C45,0)</f>
        <v>0</v>
      </c>
      <c r="AA44" s="22">
        <f>LOOKUP(D33,Reference!$A$2:$X$2,Reference!$A$35:$X$35)</f>
        <v>0</v>
      </c>
      <c r="AB44" s="22"/>
      <c r="AC44" s="22"/>
      <c r="AD44" s="22"/>
      <c r="AE44" s="1">
        <f t="shared" si="17"/>
        <v>624</v>
      </c>
      <c r="AF44" s="1">
        <f t="shared" si="18"/>
        <v>1</v>
      </c>
      <c r="AG44" s="1" t="str">
        <f t="shared" si="19"/>
        <v>L.S.</v>
      </c>
      <c r="AH44" s="1" t="str">
        <f t="shared" si="20"/>
        <v>Mobilization</v>
      </c>
      <c r="AI44" s="1">
        <f t="shared" si="21"/>
      </c>
      <c r="AJ44" s="1">
        <f t="shared" si="22"/>
      </c>
      <c r="AK44" s="1">
        <f t="shared" si="14"/>
      </c>
      <c r="AL44" s="1">
        <f t="shared" si="15"/>
      </c>
      <c r="AM44" s="1">
        <f t="shared" si="16"/>
      </c>
      <c r="AN44" s="1"/>
      <c r="AO44" s="27">
        <f>LOOKUP(F33,Reference!A$2:X$2,Reference!$A$35:$X$35)</f>
        <v>3000</v>
      </c>
      <c r="AP44" s="30">
        <v>1500</v>
      </c>
      <c r="AQ44" s="27">
        <f t="shared" si="23"/>
        <v>1500</v>
      </c>
      <c r="AR44" s="1" t="str">
        <f t="shared" si="24"/>
        <v>Mobilization</v>
      </c>
    </row>
    <row r="45" spans="1:44" ht="12.75">
      <c r="A45" s="3" t="str">
        <f>LOOKUP(A33,Reference!$A$2:$X$2,Reference!A$14:X$14)</f>
        <v>Type of Surface </v>
      </c>
      <c r="B45" s="3"/>
      <c r="C45" s="5">
        <v>823</v>
      </c>
      <c r="D45" t="str">
        <f>LOOKUP(C33,Reference!$A$2:$X$2,Reference!A$14:X$14)</f>
        <v>(424, 823, 448)</v>
      </c>
      <c r="H45" s="12" t="s">
        <v>88</v>
      </c>
      <c r="I45" s="11">
        <v>0.05</v>
      </c>
      <c r="J45" s="9">
        <f>MROUND(I45*I42/9,5)</f>
        <v>1050</v>
      </c>
      <c r="K45" s="8" t="s">
        <v>55</v>
      </c>
      <c r="M45">
        <f>MROUND(L43*C45/12*1/27,1)</f>
        <v>0</v>
      </c>
      <c r="N45" s="12" t="s">
        <v>69</v>
      </c>
      <c r="O45" s="11">
        <f>IF(A33=3,C45,0)</f>
        <v>0</v>
      </c>
      <c r="P45" s="9"/>
      <c r="Q45" s="12" t="s">
        <v>79</v>
      </c>
      <c r="R45" s="11">
        <f>IF(A33=4,C45,0)</f>
        <v>0</v>
      </c>
      <c r="S45" s="9"/>
      <c r="T45">
        <f t="shared" si="25"/>
        <v>6</v>
      </c>
      <c r="U45">
        <f t="shared" si="26"/>
        <v>6</v>
      </c>
      <c r="V45" s="22">
        <f>LOOKUP(A33,Reference!$A$2:$X$2,Reference!$A$36:$X$36)</f>
        <v>103.05</v>
      </c>
      <c r="W45" s="22">
        <f>+IF(A33=2,M38,0)+IF(AND(C42&gt;0,A33=1),1,0)</f>
        <v>1</v>
      </c>
      <c r="X45" s="22" t="str">
        <f>LOOKUP(B33,Reference!$A$2:$X$2,Reference!$A$36:$X$36)</f>
        <v>L.S.</v>
      </c>
      <c r="Y45" s="22" t="str">
        <f>LOOKUP(C33,Reference!$A$2:$X$2,Reference!$A$36:$X$36)</f>
        <v>Contract Performance &amp; Payment Bond</v>
      </c>
      <c r="Z45" s="22">
        <f>IF(A33=2,C39,0)</f>
        <v>0</v>
      </c>
      <c r="AA45" s="22">
        <f>LOOKUP(D33,Reference!$A$2:$X$2,Reference!$A$36:$X$36)</f>
        <v>0</v>
      </c>
      <c r="AB45" s="22"/>
      <c r="AC45" s="22"/>
      <c r="AD45" s="22"/>
      <c r="AE45" s="1">
        <f t="shared" si="17"/>
        <v>103.05</v>
      </c>
      <c r="AF45" s="1">
        <f t="shared" si="18"/>
        <v>1</v>
      </c>
      <c r="AG45" s="1" t="str">
        <f t="shared" si="19"/>
        <v>L.S.</v>
      </c>
      <c r="AH45" s="1" t="str">
        <f t="shared" si="20"/>
        <v>Contract Performance &amp; Payment Bond</v>
      </c>
      <c r="AI45" s="1">
        <f t="shared" si="21"/>
      </c>
      <c r="AJ45" s="1">
        <f t="shared" si="22"/>
      </c>
      <c r="AK45" s="1">
        <f t="shared" si="14"/>
      </c>
      <c r="AL45" s="1">
        <f t="shared" si="15"/>
      </c>
      <c r="AM45" s="1">
        <f t="shared" si="16"/>
      </c>
      <c r="AN45" s="1"/>
      <c r="AO45" s="27">
        <f>LOOKUP(F33,Reference!A$2:X$2,Reference!$A$36:$X$36)</f>
        <v>1000</v>
      </c>
      <c r="AP45" s="30"/>
      <c r="AQ45" s="27">
        <f t="shared" si="23"/>
        <v>1000</v>
      </c>
      <c r="AR45" s="1" t="str">
        <f t="shared" si="24"/>
        <v>Contract Performance &amp; Payment Bond</v>
      </c>
    </row>
    <row r="46" spans="1:44" ht="12.75">
      <c r="A46" s="3">
        <f>LOOKUP(A33,Reference!$A$2:$X$2,Reference!A$15:X$15)</f>
        <v>0</v>
      </c>
      <c r="B46" s="3"/>
      <c r="C46" s="5"/>
      <c r="D46">
        <f>LOOKUP(C33,Reference!$A$2:$X$2,Reference!A$15:X$15)</f>
        <v>0</v>
      </c>
      <c r="H46" s="12" t="s">
        <v>89</v>
      </c>
      <c r="I46" s="11">
        <f>IF(C43&gt;0.1,0.05,0)</f>
        <v>0</v>
      </c>
      <c r="J46" s="9">
        <f>IF(AND(A33=1,NOT(C45=424)),MROUND(I46*I42/9,5),0)</f>
        <v>0</v>
      </c>
      <c r="K46" s="15" t="s">
        <v>57</v>
      </c>
      <c r="L46">
        <f>IF(A33=2,C43*C46,0)</f>
        <v>0</v>
      </c>
      <c r="M46">
        <f>MROUND(L46*C47/12*1/27,1)</f>
        <v>0</v>
      </c>
      <c r="N46" s="12" t="s">
        <v>59</v>
      </c>
      <c r="O46" s="11">
        <f>IF(A33=3,C46,0)</f>
        <v>0</v>
      </c>
      <c r="P46" s="9">
        <f>MROUND(O46*O42/9+2.4,5)</f>
        <v>0</v>
      </c>
      <c r="Q46" s="18" t="s">
        <v>80</v>
      </c>
      <c r="R46" s="8">
        <f>IF(A33=4,C46,0)</f>
        <v>0</v>
      </c>
      <c r="S46" s="9">
        <f>MROUND(R42/9*R46/2400+2,5)</f>
        <v>0</v>
      </c>
      <c r="T46">
        <f t="shared" si="25"/>
        <v>6.00001</v>
      </c>
      <c r="U46">
        <f t="shared" si="26"/>
        <v>6</v>
      </c>
      <c r="V46" s="22">
        <f>LOOKUP(A33,Reference!$A$2:$X$2,Reference!$A$37:$X$37)</f>
        <v>0</v>
      </c>
      <c r="W46" s="22">
        <f>IF(A33=2,L40,0)</f>
        <v>0</v>
      </c>
      <c r="X46" s="22">
        <f>LOOKUP(B33,Reference!$A$2:$X$2,Reference!$A$37:$X$37)</f>
        <v>0</v>
      </c>
      <c r="Y46" s="22">
        <f>LOOKUP(C33,Reference!$A$2:$X$2,Reference!$A$37:$X$37)</f>
        <v>0</v>
      </c>
      <c r="Z46" s="22">
        <f>IF(A33=2,M40,0)</f>
        <v>0</v>
      </c>
      <c r="AA46" s="22">
        <f>LOOKUP(D33,Reference!$A$2:$X$2,Reference!$A$37:$X$37)</f>
        <v>0</v>
      </c>
      <c r="AB46" s="22"/>
      <c r="AC46" s="22"/>
      <c r="AD46" s="22"/>
      <c r="AE46" s="1">
        <f t="shared" si="17"/>
      </c>
      <c r="AF46" s="1">
        <f t="shared" si="18"/>
      </c>
      <c r="AG46" s="1">
        <f t="shared" si="19"/>
      </c>
      <c r="AH46" s="1">
        <f t="shared" si="20"/>
      </c>
      <c r="AI46" s="1">
        <f t="shared" si="21"/>
      </c>
      <c r="AJ46" s="1">
        <f t="shared" si="22"/>
      </c>
      <c r="AK46" s="1">
        <f t="shared" si="14"/>
      </c>
      <c r="AL46" s="1">
        <f t="shared" si="15"/>
      </c>
      <c r="AM46" s="1">
        <f t="shared" si="16"/>
      </c>
      <c r="AN46" s="1"/>
      <c r="AO46" s="27">
        <f>LOOKUP(F33,Reference!A$2:X$2,Reference!$A$37:$X$37)</f>
        <v>0</v>
      </c>
      <c r="AP46" s="30"/>
      <c r="AQ46" s="27">
        <f t="shared" si="23"/>
        <v>0</v>
      </c>
      <c r="AR46" s="1">
        <f t="shared" si="24"/>
      </c>
    </row>
    <row r="47" spans="1:44" ht="12.75">
      <c r="A47" s="3">
        <f>LOOKUP(A33,Reference!$A$2:$X$2,Reference!A$16:X$16)</f>
        <v>0</v>
      </c>
      <c r="B47" s="3"/>
      <c r="C47" s="5"/>
      <c r="D47">
        <f>LOOKUP(C33,Reference!$A$2:$X$2,Reference!A$16:X$16)</f>
        <v>0</v>
      </c>
      <c r="H47" s="16" t="s">
        <v>132</v>
      </c>
      <c r="I47" s="11">
        <v>0.05</v>
      </c>
      <c r="J47" s="9">
        <f>IF(AND(A33=1,C45=424),MROUND(I47*I42/9,5),0)</f>
        <v>0</v>
      </c>
      <c r="K47" s="15" t="s">
        <v>96</v>
      </c>
      <c r="L47">
        <f>IF(A33=2,C48,0)</f>
        <v>0</v>
      </c>
      <c r="N47" s="7"/>
      <c r="O47" s="11"/>
      <c r="P47" s="9"/>
      <c r="Q47" s="18" t="s">
        <v>81</v>
      </c>
      <c r="R47" s="11">
        <f>IF(A33=4,C47,0)</f>
        <v>0</v>
      </c>
      <c r="S47" s="9">
        <f>MROUND(R47*R42/9+2.4,5)</f>
        <v>0</v>
      </c>
      <c r="T47">
        <f t="shared" si="25"/>
        <v>6.000019999999999</v>
      </c>
      <c r="U47">
        <f t="shared" si="26"/>
        <v>6</v>
      </c>
      <c r="V47" s="22">
        <f>LOOKUP(A33,Reference!$A$2:$X$2,Reference!$A$38:$X$38)</f>
        <v>0</v>
      </c>
      <c r="W47" s="22">
        <f>IF(AND(C43&gt;0,A33=2),1,0)</f>
        <v>0</v>
      </c>
      <c r="X47" s="22">
        <f>LOOKUP(B33,Reference!$A$2:$X$2,Reference!$A$38:$X$38)</f>
        <v>0</v>
      </c>
      <c r="Y47" s="22">
        <f>LOOKUP(C33,Reference!$A$2:$X$2,Reference!$A$38:$X$38)</f>
        <v>0</v>
      </c>
      <c r="Z47" s="22"/>
      <c r="AA47" s="22">
        <f>LOOKUP(D33,Reference!$A$2:$X$2,Reference!$A$38:$X$38)</f>
        <v>0</v>
      </c>
      <c r="AB47" s="22"/>
      <c r="AC47" s="22"/>
      <c r="AD47" s="22"/>
      <c r="AE47" s="1">
        <f t="shared" si="17"/>
      </c>
      <c r="AF47" s="1">
        <f t="shared" si="18"/>
      </c>
      <c r="AG47" s="1">
        <f t="shared" si="19"/>
      </c>
      <c r="AH47" s="1">
        <f t="shared" si="20"/>
      </c>
      <c r="AI47" s="1">
        <f t="shared" si="21"/>
      </c>
      <c r="AJ47" s="1">
        <f t="shared" si="22"/>
      </c>
      <c r="AK47" s="1">
        <f t="shared" si="14"/>
      </c>
      <c r="AL47" s="1">
        <f t="shared" si="15"/>
      </c>
      <c r="AM47" s="1">
        <f t="shared" si="16"/>
      </c>
      <c r="AN47" s="1"/>
      <c r="AO47" s="27">
        <f>LOOKUP(F33,Reference!A$2:X$2,Reference!$A$38:$X$38)</f>
        <v>0</v>
      </c>
      <c r="AP47" s="30"/>
      <c r="AQ47" s="27">
        <f t="shared" si="23"/>
        <v>0</v>
      </c>
      <c r="AR47" s="1">
        <f t="shared" si="24"/>
      </c>
    </row>
    <row r="48" spans="1:44" ht="12.75">
      <c r="A48" s="3">
        <f>LOOKUP(A33,Reference!$A$2:$X$2,Reference!A$17:X$17)</f>
        <v>0</v>
      </c>
      <c r="B48" s="3"/>
      <c r="C48" s="4"/>
      <c r="D48">
        <f>LOOKUP(C33,Reference!$A$2:$X$2,Reference!A$17:X$17)</f>
        <v>0</v>
      </c>
      <c r="H48" s="12" t="s">
        <v>116</v>
      </c>
      <c r="I48" s="11">
        <f>IF(A33=1,C42,0)</f>
        <v>9900</v>
      </c>
      <c r="J48" s="9"/>
      <c r="K48" s="15" t="s">
        <v>91</v>
      </c>
      <c r="L48">
        <f>IF(A33=2,C49,0)</f>
        <v>0</v>
      </c>
      <c r="N48" s="12" t="s">
        <v>116</v>
      </c>
      <c r="O48" s="11">
        <f>IF(A33=3,C42,0)</f>
        <v>0</v>
      </c>
      <c r="P48" s="9"/>
      <c r="Q48" s="12" t="s">
        <v>82</v>
      </c>
      <c r="R48" s="11">
        <f>IF(A33=4,C48,0)</f>
        <v>0</v>
      </c>
      <c r="S48" s="9"/>
      <c r="T48">
        <f t="shared" si="25"/>
        <v>6.000029999999999</v>
      </c>
      <c r="U48">
        <f t="shared" si="26"/>
        <v>6</v>
      </c>
      <c r="V48" s="22">
        <f>LOOKUP(A33,Reference!$A$2:$X$2,Reference!$A$39:$X$39)</f>
        <v>0</v>
      </c>
      <c r="W48" s="22">
        <f>IF(AND(C43&gt;0,A33=2),1,0)</f>
        <v>0</v>
      </c>
      <c r="X48" s="22">
        <f>LOOKUP(B33,Reference!$A$2:$X$2,Reference!$A$39:$X$39)</f>
        <v>0</v>
      </c>
      <c r="Y48" s="22">
        <f>LOOKUP(C33,Reference!$A$2:$X$2,Reference!$A$39:$X$39)</f>
        <v>0</v>
      </c>
      <c r="Z48" s="22"/>
      <c r="AA48" s="22">
        <f>LOOKUP(D33,Reference!$A$2:$X$2,Reference!$A$39:$X$39)</f>
        <v>0</v>
      </c>
      <c r="AB48" s="22"/>
      <c r="AC48" s="22"/>
      <c r="AD48" s="22"/>
      <c r="AE48" s="1">
        <f t="shared" si="17"/>
      </c>
      <c r="AF48" s="1">
        <f t="shared" si="18"/>
      </c>
      <c r="AG48" s="1">
        <f t="shared" si="19"/>
      </c>
      <c r="AH48" s="1">
        <f t="shared" si="20"/>
      </c>
      <c r="AI48" s="1">
        <f t="shared" si="21"/>
      </c>
      <c r="AJ48" s="1">
        <f t="shared" si="22"/>
      </c>
      <c r="AK48" s="1">
        <f t="shared" si="14"/>
      </c>
      <c r="AL48" s="1">
        <f t="shared" si="15"/>
      </c>
      <c r="AM48" s="1">
        <f t="shared" si="16"/>
      </c>
      <c r="AN48" s="1"/>
      <c r="AO48" s="27">
        <f>LOOKUP(F33,Reference!A$2:X$2,Reference!$A$39:$X$39)</f>
        <v>0</v>
      </c>
      <c r="AP48" s="30"/>
      <c r="AQ48" s="27">
        <f t="shared" si="23"/>
        <v>0</v>
      </c>
      <c r="AR48" s="1">
        <f t="shared" si="24"/>
      </c>
    </row>
    <row r="49" spans="1:44" ht="12.75">
      <c r="A49" s="3">
        <f>LOOKUP(A33,Reference!$A$2:$X$2,Reference!A$18:O$18)</f>
        <v>0</v>
      </c>
      <c r="B49" s="3"/>
      <c r="C49" s="5"/>
      <c r="D49">
        <f>LOOKUP(C33,Reference!$A$2:$X$2,Reference!A$18:X$18)</f>
        <v>0</v>
      </c>
      <c r="H49" s="12" t="s">
        <v>117</v>
      </c>
      <c r="I49" s="11">
        <f>IF(A33=1,C41,0)</f>
        <v>19</v>
      </c>
      <c r="J49" s="9"/>
      <c r="K49" s="16" t="s">
        <v>88</v>
      </c>
      <c r="L49">
        <v>0.05</v>
      </c>
      <c r="M49">
        <f>MROUND(L49*L43/9,5)</f>
        <v>0</v>
      </c>
      <c r="N49" s="12" t="s">
        <v>117</v>
      </c>
      <c r="O49" s="11">
        <f>IF(A33=3,C41,0)</f>
        <v>0</v>
      </c>
      <c r="P49" s="9"/>
      <c r="Q49" s="12" t="s">
        <v>59</v>
      </c>
      <c r="R49" s="11">
        <f>IF(A33=4,C49,0)</f>
        <v>0</v>
      </c>
      <c r="S49" s="9">
        <f>MROUND(R49*R42/9+2.4,5)</f>
        <v>0</v>
      </c>
      <c r="T49">
        <f t="shared" si="25"/>
        <v>6.0000399999999985</v>
      </c>
      <c r="U49">
        <f t="shared" si="26"/>
        <v>6</v>
      </c>
      <c r="V49" s="22">
        <f>LOOKUP(A33,Reference!$A$2:$X$2,Reference!$A$40:$X$40)</f>
        <v>0</v>
      </c>
      <c r="W49" s="22">
        <f>IF(AND(C43&gt;0,A33=2),1,0)</f>
        <v>0</v>
      </c>
      <c r="X49" s="22">
        <f>LOOKUP(B33,Reference!$A$2:$X$2,Reference!$A$40:$X$40)</f>
        <v>0</v>
      </c>
      <c r="Y49" s="22">
        <f>LOOKUP(C33,Reference!$A$2:$X$2,Reference!$A$40:$X$40)</f>
        <v>0</v>
      </c>
      <c r="Z49" s="22"/>
      <c r="AA49" s="22">
        <f>LOOKUP(D33,Reference!$A$2:$X$2,Reference!$A$40:$X$40)</f>
        <v>0</v>
      </c>
      <c r="AB49" s="22"/>
      <c r="AC49" s="22"/>
      <c r="AD49" s="22"/>
      <c r="AE49" s="1">
        <f t="shared" si="17"/>
      </c>
      <c r="AF49" s="1">
        <f t="shared" si="18"/>
      </c>
      <c r="AG49" s="1">
        <f t="shared" si="19"/>
      </c>
      <c r="AH49" s="1">
        <f t="shared" si="20"/>
      </c>
      <c r="AI49" s="1">
        <f t="shared" si="21"/>
      </c>
      <c r="AJ49" s="1">
        <f t="shared" si="22"/>
      </c>
      <c r="AK49" s="1">
        <f t="shared" si="14"/>
      </c>
      <c r="AL49" s="1">
        <f t="shared" si="15"/>
      </c>
      <c r="AM49" s="1">
        <f t="shared" si="16"/>
      </c>
      <c r="AN49" s="1"/>
      <c r="AO49" s="27">
        <f>LOOKUP(F33,Reference!A$2:X$2,Reference!$A$40:$X$40)</f>
        <v>0</v>
      </c>
      <c r="AP49" s="30"/>
      <c r="AQ49" s="27">
        <f t="shared" si="23"/>
        <v>0</v>
      </c>
      <c r="AR49" s="1">
        <f t="shared" si="24"/>
      </c>
    </row>
    <row r="50" spans="1:44" ht="12.75">
      <c r="A50" s="3">
        <f>LOOKUP(A33,Reference!$A$2:$X$2,Reference!A$19:O$19)</f>
        <v>0</v>
      </c>
      <c r="B50" s="3"/>
      <c r="C50" s="4"/>
      <c r="D50">
        <f>LOOKUP(C33,Reference!$A$2:$X$2,Reference!A$19:X$19)</f>
        <v>0</v>
      </c>
      <c r="H50" s="7"/>
      <c r="I50" s="11"/>
      <c r="J50" s="9"/>
      <c r="K50" s="16" t="s">
        <v>89</v>
      </c>
      <c r="L50">
        <f>IF(C44&gt;0.1,0.05,0)</f>
        <v>0.05</v>
      </c>
      <c r="M50">
        <f>IF(NOT(C51=424),MROUND(L50*L43/9,5),0)</f>
        <v>0</v>
      </c>
      <c r="N50" s="7"/>
      <c r="O50" s="11"/>
      <c r="P50" s="9"/>
      <c r="R50" s="11"/>
      <c r="S50" s="9"/>
      <c r="T50">
        <f t="shared" si="25"/>
        <v>6.000049999999998</v>
      </c>
      <c r="U50">
        <f t="shared" si="26"/>
        <v>6</v>
      </c>
      <c r="V50" s="22">
        <f>LOOKUP(A33,Reference!$A$2:$X$2,Reference!$A$41:$X$41)</f>
        <v>0</v>
      </c>
      <c r="W50" s="22"/>
      <c r="X50" s="22">
        <f>LOOKUP(B33,Reference!$A$2:$X$2,Reference!$A$41:$X$41)</f>
        <v>0</v>
      </c>
      <c r="Y50" s="22">
        <f>LOOKUP(C33,Reference!$A$2:$X$2,Reference!$A$41:$X$41)</f>
        <v>0</v>
      </c>
      <c r="Z50" s="22"/>
      <c r="AA50" s="22">
        <f>LOOKUP(D33,Reference!$A$2:$X$2,Reference!$A$41:$X$41)</f>
        <v>0</v>
      </c>
      <c r="AB50" s="22"/>
      <c r="AC50" s="22"/>
      <c r="AD50" s="22"/>
      <c r="AE50" s="1">
        <f t="shared" si="17"/>
      </c>
      <c r="AF50" s="1">
        <f t="shared" si="18"/>
      </c>
      <c r="AG50" s="1">
        <f t="shared" si="19"/>
      </c>
      <c r="AH50" s="1">
        <f t="shared" si="20"/>
      </c>
      <c r="AI50" s="1">
        <f t="shared" si="21"/>
      </c>
      <c r="AJ50" s="1">
        <f t="shared" si="22"/>
      </c>
      <c r="AK50" s="1">
        <f t="shared" si="14"/>
      </c>
      <c r="AL50" s="1">
        <f t="shared" si="15"/>
      </c>
      <c r="AM50" s="1">
        <f t="shared" si="16"/>
      </c>
      <c r="AN50" s="1"/>
      <c r="AO50" s="27">
        <f>LOOKUP(F33,Reference!A$2:X$2,Reference!$A$41:$X$41)</f>
        <v>0</v>
      </c>
      <c r="AP50" s="30"/>
      <c r="AQ50" s="27">
        <f t="shared" si="23"/>
        <v>0</v>
      </c>
      <c r="AR50" s="1">
        <f t="shared" si="24"/>
      </c>
    </row>
    <row r="51" spans="1:44" ht="12.75">
      <c r="A51" s="3">
        <f>LOOKUP(A33,Reference!$A$2:$X$2,Reference!A$20:X$20)</f>
        <v>0</v>
      </c>
      <c r="B51" s="3"/>
      <c r="C51" s="5"/>
      <c r="D51">
        <f>LOOKUP(C33,Reference!$A$2:$X$2,Reference!A$20:X$20)</f>
        <v>0</v>
      </c>
      <c r="H51" s="7"/>
      <c r="I51" s="11"/>
      <c r="J51" s="9"/>
      <c r="K51" s="16" t="s">
        <v>132</v>
      </c>
      <c r="L51">
        <f>IF(C44&gt;0.1,0.08,0)</f>
        <v>0.08</v>
      </c>
      <c r="M51">
        <f>IF(C51=424,MROUND(L51*L43/9,5),0)</f>
        <v>0</v>
      </c>
      <c r="N51" s="12"/>
      <c r="O51" s="11"/>
      <c r="P51" s="19"/>
      <c r="Q51" s="12" t="s">
        <v>116</v>
      </c>
      <c r="R51" s="11">
        <f>IF(A33=4,C42,0)</f>
        <v>0</v>
      </c>
      <c r="S51" s="9"/>
      <c r="T51">
        <f t="shared" si="25"/>
        <v>6.000059999999998</v>
      </c>
      <c r="U51">
        <f t="shared" si="26"/>
        <v>6</v>
      </c>
      <c r="V51" s="22">
        <f>LOOKUP(A33,Reference!$A$2:$X$2,Reference!$A$42:$X$42)</f>
        <v>0</v>
      </c>
      <c r="W51" s="22"/>
      <c r="X51" s="22">
        <f>LOOKUP(B33,Reference!$A$2:$X$2,Reference!$A$42:$X$42)</f>
        <v>0</v>
      </c>
      <c r="Y51" s="22">
        <f>LOOKUP(C33,Reference!$A$2:$X$2,Reference!$A$42:$X$42)</f>
        <v>0</v>
      </c>
      <c r="Z51" s="22"/>
      <c r="AA51" s="22">
        <f>LOOKUP(D33,Reference!$A$2:$X$2,Reference!$A$42:$X$42)</f>
        <v>0</v>
      </c>
      <c r="AB51" s="22"/>
      <c r="AC51" s="22"/>
      <c r="AD51" s="22"/>
      <c r="AE51" s="1">
        <f t="shared" si="17"/>
      </c>
      <c r="AF51" s="1">
        <f t="shared" si="18"/>
      </c>
      <c r="AG51" s="1">
        <f t="shared" si="19"/>
      </c>
      <c r="AH51" s="1">
        <f t="shared" si="20"/>
      </c>
      <c r="AI51" s="1">
        <f t="shared" si="21"/>
      </c>
      <c r="AJ51" s="1">
        <f t="shared" si="22"/>
      </c>
      <c r="AK51" s="1">
        <f t="shared" si="14"/>
      </c>
      <c r="AL51" s="1">
        <f t="shared" si="15"/>
      </c>
      <c r="AM51" s="1">
        <f t="shared" si="16"/>
      </c>
      <c r="AN51" s="1"/>
      <c r="AO51" s="27">
        <f>LOOKUP(F33,Reference!A$2:X$2,Reference!$A$42:$X$42)</f>
        <v>0</v>
      </c>
      <c r="AP51" s="30"/>
      <c r="AQ51" s="27">
        <f t="shared" si="23"/>
        <v>0</v>
      </c>
      <c r="AR51" s="1">
        <f t="shared" si="24"/>
      </c>
    </row>
    <row r="52" spans="1:44" ht="12.75">
      <c r="A52" s="3">
        <f>LOOKUP(A33,Reference!$A$2:$X$2,Reference!A$21:X$21)</f>
        <v>0</v>
      </c>
      <c r="B52" s="3"/>
      <c r="C52" s="5"/>
      <c r="D52">
        <f>LOOKUP(C33,Reference!$A$2:$X$2,Reference!A$21:X$21)</f>
        <v>0</v>
      </c>
      <c r="H52" s="7"/>
      <c r="I52" s="11"/>
      <c r="J52" s="9"/>
      <c r="K52" s="16" t="s">
        <v>101</v>
      </c>
      <c r="L52">
        <f>MROUND(L46/9,5)</f>
        <v>0</v>
      </c>
      <c r="N52" s="7"/>
      <c r="O52" s="11"/>
      <c r="P52" s="9"/>
      <c r="Q52" s="12" t="s">
        <v>117</v>
      </c>
      <c r="R52" s="11">
        <f>IF(A33=4,C41,0)</f>
        <v>0</v>
      </c>
      <c r="S52" s="9"/>
      <c r="V52" s="3" t="s">
        <v>98</v>
      </c>
      <c r="W52">
        <f>MROUND(SUM(R42,O42,L43,I42)/9,5)</f>
        <v>21020</v>
      </c>
      <c r="AO52" s="26"/>
      <c r="AP52" s="26"/>
      <c r="AQ52" s="26"/>
      <c r="AR52" s="1">
        <f>CONCATENATE(AH52,AI52,AJ52,AK52,,AM52,AN52)</f>
      </c>
    </row>
    <row r="53" spans="1:28" ht="12.75">
      <c r="A53" s="3">
        <f>LOOKUP(A33,Reference!$A$2:$X$2,Reference!C$22:X$22)</f>
        <v>0</v>
      </c>
      <c r="B53" s="3"/>
      <c r="C53" s="5"/>
      <c r="D53">
        <f>LOOKUP(C33,Reference!$A$2:$X$2,Reference!C$22:X$22)</f>
        <v>0</v>
      </c>
      <c r="H53" s="7"/>
      <c r="I53" s="11"/>
      <c r="J53" s="9"/>
      <c r="K53" s="12" t="s">
        <v>116</v>
      </c>
      <c r="L53">
        <f>IF(A33=2,C43,0)</f>
        <v>0</v>
      </c>
      <c r="N53" s="7"/>
      <c r="O53" s="11"/>
      <c r="P53" s="9"/>
      <c r="R53" s="11"/>
      <c r="S53" s="9"/>
      <c r="V53" s="3" t="s">
        <v>118</v>
      </c>
      <c r="W53">
        <f>R51+O48+L53+I48</f>
        <v>9900</v>
      </c>
      <c r="X53" s="3" t="s">
        <v>121</v>
      </c>
      <c r="Y53">
        <f>MROUND(W53/5280,0.01)</f>
        <v>1.8800000000000001</v>
      </c>
      <c r="Z53" s="3" t="s">
        <v>120</v>
      </c>
      <c r="AB53" t="str">
        <f>CONCATENATE(V53,W53,X53,Y53,Z53)</f>
        <v>Length:  9900 Feet or 1.88 Mile(s)</v>
      </c>
    </row>
    <row r="54" spans="1:28" ht="12.75">
      <c r="A54" s="3">
        <f>LOOKUP(A33,Reference!$A$2:$X$2,Reference!A$23:X$23)</f>
        <v>0</v>
      </c>
      <c r="B54" s="3"/>
      <c r="C54" s="5"/>
      <c r="D54">
        <f>LOOKUP(C33,Reference!$A$2:$X$2,Reference!A$23:X$23)</f>
        <v>0</v>
      </c>
      <c r="H54" s="7"/>
      <c r="I54" s="11"/>
      <c r="J54" s="9"/>
      <c r="K54" s="12" t="s">
        <v>117</v>
      </c>
      <c r="L54">
        <f>IF(A33=2,C42,0)</f>
        <v>0</v>
      </c>
      <c r="N54" s="7"/>
      <c r="O54" s="11"/>
      <c r="P54" s="9"/>
      <c r="R54" s="11"/>
      <c r="S54" s="19"/>
      <c r="V54" s="3" t="s">
        <v>119</v>
      </c>
      <c r="W54">
        <f>R52+O49+L54+I49</f>
        <v>19</v>
      </c>
      <c r="X54" s="3" t="s">
        <v>122</v>
      </c>
      <c r="Y54" s="3" t="s">
        <v>123</v>
      </c>
      <c r="Z54" s="25">
        <f>W52</f>
        <v>21020</v>
      </c>
      <c r="AA54" s="3" t="s">
        <v>124</v>
      </c>
      <c r="AB54" t="str">
        <f>CONCATENATE(V54,W54,X54,Y54,Z54,AA54)</f>
        <v>Width:  19 Feet     (Approx. 21020 S.Y. including radius and driveway work)</v>
      </c>
    </row>
    <row r="55" spans="1:28" ht="12.75">
      <c r="A55" s="3">
        <f>LOOKUP(A33,Reference!$A$2:$X$2,Reference!A$24:X$24)</f>
        <v>0</v>
      </c>
      <c r="B55" s="3"/>
      <c r="C55" s="5"/>
      <c r="D55">
        <f>LOOKUP(C33,Reference!$A$2:$X$2,Reference!A$24:X$24)</f>
        <v>0</v>
      </c>
      <c r="H55" s="7">
        <f>IF(AND(A33=1,C45=424),"Type: ODOT Spec 424 Smooth Seal ","")</f>
      </c>
      <c r="I55" s="11" t="str">
        <f>IF(AND(A33=1,NOT(C45=424)),"Type: ODOT Spec 823 ","")</f>
        <v>Type: ODOT Spec 823 </v>
      </c>
      <c r="J55" s="9"/>
      <c r="K55" s="18">
        <f>IF(A33=2,"Type: ODOT Spec 448, with Spec 301 Widening ","")</f>
      </c>
      <c r="N55" s="7">
        <f>IF(A33=3,"Type: Chip Seal, 1997 ODOT Spec 409 ","")</f>
      </c>
      <c r="O55" s="11">
        <f>IF(O46&gt;0,"W/ Fog Seal","")</f>
      </c>
      <c r="P55" s="9"/>
      <c r="Q55">
        <f>IF(A33=4,"Type: Double Chip Seal, 1997 ODOT Spec 409 ","")</f>
      </c>
      <c r="R55" s="11">
        <f>IF(R49&gt;0,"W/ Fog Seal","")</f>
      </c>
      <c r="S55" s="9"/>
      <c r="V55" s="3">
        <f>IF(C38&gt;0,"W/ 617 Berm @ ","")</f>
      </c>
      <c r="W55" s="29">
        <f>IF(C38&gt;0,C38/12,"")</f>
      </c>
      <c r="X55" s="3">
        <f>IF(C38&gt;0," Feet Wide Each Side","")</f>
      </c>
      <c r="AB55" t="str">
        <f>CONCATENATE(H55,I55,J55,K55,L55,M55,N55,O55,P55,Q55,R55,S55,T55,U55,V55,W55,X55)</f>
        <v>Type: ODOT Spec 823 </v>
      </c>
    </row>
    <row r="63" spans="1:19" ht="12.75">
      <c r="A63" s="2" t="s">
        <v>134</v>
      </c>
      <c r="B63" s="3"/>
      <c r="C63" s="3" t="str">
        <f>"1 = Paving    2 = Paving-Widening     3= Chip Seal   4=Double Chip Seal"</f>
        <v>1 = Paving    2 = Paving-Widening     3= Chip Seal   4=Double Chip Seal</v>
      </c>
      <c r="I63">
        <f>I32</f>
        <v>1</v>
      </c>
      <c r="J63">
        <f>J32</f>
        <v>1.5</v>
      </c>
      <c r="L63">
        <f>L32</f>
        <v>2</v>
      </c>
      <c r="M63">
        <f>M32</f>
        <v>2.5</v>
      </c>
      <c r="O63">
        <f>O32</f>
        <v>3</v>
      </c>
      <c r="P63">
        <f>P32</f>
        <v>3.5</v>
      </c>
      <c r="R63">
        <f>R32</f>
        <v>4</v>
      </c>
      <c r="S63">
        <f>S32</f>
        <v>4.5</v>
      </c>
    </row>
    <row r="64" spans="1:19" ht="12.75">
      <c r="A64" s="6">
        <v>1</v>
      </c>
      <c r="B64" s="20">
        <f>A64+0.2</f>
        <v>1.2</v>
      </c>
      <c r="C64">
        <f>A64+0.5</f>
        <v>1.5</v>
      </c>
      <c r="D64">
        <f>A64+0.7</f>
        <v>1.7</v>
      </c>
      <c r="E64">
        <f>A64+0.8</f>
        <v>1.8</v>
      </c>
      <c r="F64">
        <f>A64+0.9</f>
        <v>1.9</v>
      </c>
      <c r="H64" s="7"/>
      <c r="I64" s="8" t="s">
        <v>37</v>
      </c>
      <c r="J64" s="9"/>
      <c r="K64" s="11"/>
      <c r="L64" t="s">
        <v>38</v>
      </c>
      <c r="N64" s="7"/>
      <c r="O64" s="8" t="s">
        <v>31</v>
      </c>
      <c r="P64" s="9"/>
      <c r="Q64" s="7"/>
      <c r="R64" s="8" t="s">
        <v>39</v>
      </c>
      <c r="S64" s="9"/>
    </row>
    <row r="65" spans="1:43" ht="12.75">
      <c r="A65" s="2" t="str">
        <f>LOOKUP(A64,Reference!$A$2:$S$2,Reference!A$3:S$3)</f>
        <v>Paving</v>
      </c>
      <c r="B65" s="2"/>
      <c r="H65" s="7"/>
      <c r="I65" s="10" t="s">
        <v>28</v>
      </c>
      <c r="J65" s="9"/>
      <c r="K65" s="11"/>
      <c r="L65" s="10" t="s">
        <v>28</v>
      </c>
      <c r="M65" s="11"/>
      <c r="N65" s="7"/>
      <c r="O65" s="10" t="s">
        <v>28</v>
      </c>
      <c r="P65" s="9"/>
      <c r="Q65" s="7"/>
      <c r="R65" s="10" t="s">
        <v>28</v>
      </c>
      <c r="S65" s="9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4" ht="12.75">
      <c r="A66" s="3" t="str">
        <f>LOOKUP(A64,Reference!$A$2:$X$2,Reference!A$4:X$4)</f>
        <v>Name</v>
      </c>
      <c r="B66" s="3"/>
      <c r="C66" s="4" t="s">
        <v>169</v>
      </c>
      <c r="D66" t="str">
        <f>"1st Length"</f>
        <v>1st Length</v>
      </c>
      <c r="E66" t="str">
        <f>"2nd Length"</f>
        <v>2nd Length</v>
      </c>
      <c r="F66" t="str">
        <f>"3rd Length"</f>
        <v>3rd Length</v>
      </c>
      <c r="G66" t="str">
        <f>"4th Length"</f>
        <v>4th Length</v>
      </c>
      <c r="H66" s="7"/>
      <c r="I66" s="11" t="s">
        <v>26</v>
      </c>
      <c r="J66" s="9" t="s">
        <v>50</v>
      </c>
      <c r="K66" s="11"/>
      <c r="L66" s="11" t="s">
        <v>26</v>
      </c>
      <c r="M66" s="8" t="s">
        <v>68</v>
      </c>
      <c r="N66" s="7"/>
      <c r="O66" s="11" t="s">
        <v>26</v>
      </c>
      <c r="P66" s="19" t="s">
        <v>67</v>
      </c>
      <c r="Q66" s="7"/>
      <c r="R66" s="11" t="s">
        <v>26</v>
      </c>
      <c r="S66" s="19" t="s">
        <v>67</v>
      </c>
      <c r="V66" s="23" t="s">
        <v>2</v>
      </c>
      <c r="W66" s="24" t="s">
        <v>86</v>
      </c>
      <c r="X66" s="24" t="s">
        <v>3</v>
      </c>
      <c r="Y66" s="24" t="s">
        <v>4</v>
      </c>
      <c r="Z66" s="21"/>
      <c r="AA66" s="22"/>
      <c r="AB66" s="22"/>
      <c r="AC66" s="22"/>
      <c r="AD66" s="2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7" t="s">
        <v>126</v>
      </c>
      <c r="AP66" s="27" t="s">
        <v>127</v>
      </c>
      <c r="AQ66" s="27" t="s">
        <v>128</v>
      </c>
      <c r="AR66" s="27" t="s">
        <v>4</v>
      </c>
    </row>
    <row r="67" spans="1:44" ht="12.75">
      <c r="A67" s="3" t="str">
        <f>LOOKUP(A64,Reference!$A$2:$X$2,Reference!A$5:X$5)</f>
        <v>Radii</v>
      </c>
      <c r="B67" s="3"/>
      <c r="C67" s="5">
        <v>2</v>
      </c>
      <c r="D67" t="str">
        <f>LOOKUP(C64,Reference!$A$2:$X$2,Reference!A$5:X$5)</f>
        <v>@ 10 SY Each</v>
      </c>
      <c r="H67" s="12" t="s">
        <v>47</v>
      </c>
      <c r="I67" s="11">
        <f>IF(A64=1,10*C67*9,0)</f>
        <v>180</v>
      </c>
      <c r="J67" s="9"/>
      <c r="K67" s="12" t="s">
        <v>47</v>
      </c>
      <c r="L67">
        <f>IF(A64=2,10*C67*9,0)</f>
        <v>0</v>
      </c>
      <c r="N67" s="12" t="s">
        <v>47</v>
      </c>
      <c r="O67" s="11">
        <f>IF(A64=3,10*C67*9,0)</f>
        <v>0</v>
      </c>
      <c r="P67" s="9"/>
      <c r="Q67" s="12" t="s">
        <v>47</v>
      </c>
      <c r="R67" s="11">
        <f>IF(A64=4,10*C67*9,0)</f>
        <v>0</v>
      </c>
      <c r="S67" s="9"/>
      <c r="T67">
        <f>IF(W67&gt;0,1,0)</f>
        <v>1</v>
      </c>
      <c r="U67">
        <f>T67</f>
        <v>1</v>
      </c>
      <c r="V67" s="22">
        <f>LOOKUP(A64,Reference!$A$2:$X$2,Reference!$A$27:$X$27)</f>
        <v>407</v>
      </c>
      <c r="W67" s="22">
        <f>IF(A64=1,J76+J77,0)+IF(A64=2,L79,0)+IF(A64=3,P75,0)+IF(A64=4,S75,0)</f>
        <v>200</v>
      </c>
      <c r="X67" s="22" t="str">
        <f>LOOKUP(B64,Reference!$A$2:$X$2,Reference!$A$27:$X$27)</f>
        <v>Gal</v>
      </c>
      <c r="Y67" s="22" t="str">
        <f>LOOKUP(C64,Reference!$A$2:$X$2,Reference!$A$27:X$27)</f>
        <v>Bituminous Tack Coat applied at 0.05 gallons per square yard</v>
      </c>
      <c r="Z67" s="22">
        <f>IF(A64=3,O75,0)+IF(A64=4,R75,0)</f>
        <v>0</v>
      </c>
      <c r="AA67" s="22">
        <f>LOOKUP(D64,Reference!$A$2:$X$2,Reference!$A$27:$X$27)</f>
        <v>0</v>
      </c>
      <c r="AB67" s="22"/>
      <c r="AC67" s="22"/>
      <c r="AD67" s="22"/>
      <c r="AE67" s="1">
        <f aca="true" t="shared" si="27" ref="AE67:AE82">IF(V67=0,"",V67)</f>
        <v>407</v>
      </c>
      <c r="AF67" s="1">
        <f aca="true" t="shared" si="28" ref="AF67:AF82">IF(W67=0,"",W67)</f>
        <v>200</v>
      </c>
      <c r="AG67" s="1" t="str">
        <f aca="true" t="shared" si="29" ref="AG67:AG82">IF(X67=0,"",X67)</f>
        <v>Gal</v>
      </c>
      <c r="AH67" s="1" t="str">
        <f aca="true" t="shared" si="30" ref="AH67:AH82">IF(Y67=0,"",Y67)</f>
        <v>Bituminous Tack Coat applied at 0.05 gallons per square yard</v>
      </c>
      <c r="AI67" s="1">
        <f aca="true" t="shared" si="31" ref="AI67:AI82">IF(Z67=0,"",Z67)</f>
      </c>
      <c r="AJ67" s="1">
        <f aca="true" t="shared" si="32" ref="AJ67:AJ82">IF(AA67=0,"",AA67)</f>
      </c>
      <c r="AK67" s="1">
        <f aca="true" t="shared" si="33" ref="AK67:AK82">IF(AB67=0,"",AB67)</f>
      </c>
      <c r="AL67" s="1">
        <f aca="true" t="shared" si="34" ref="AL67:AL82">IF(AC67=0,"",AC67)</f>
      </c>
      <c r="AM67" s="1">
        <f aca="true" t="shared" si="35" ref="AM67:AM82">IF(AD67=0,"",AD67)</f>
      </c>
      <c r="AN67" s="1"/>
      <c r="AO67" s="27">
        <f>LOOKUP(F64,Reference!A$2:X$2,Reference!$A$27:$X$27)</f>
        <v>2.1</v>
      </c>
      <c r="AP67" s="30"/>
      <c r="AQ67" s="27">
        <f aca="true" t="shared" si="36" ref="AQ67:AQ82">IF(AP67&gt;0,AP67,AO67)</f>
        <v>2.1</v>
      </c>
      <c r="AR67" s="1" t="str">
        <f aca="true" t="shared" si="37" ref="AR67:AR82">CONCATENATE(AH67,AI67,AJ67,AK67,AL67,AM67,AN67)</f>
        <v>Bituminous Tack Coat applied at 0.05 gallons per square yard</v>
      </c>
    </row>
    <row r="68" spans="1:44" ht="12.75">
      <c r="A68" s="3" t="str">
        <f>LOOKUP(A64,Reference!$A$2:$X$2,Reference!A$6:X$6)</f>
        <v>Drives</v>
      </c>
      <c r="B68" s="3"/>
      <c r="C68" s="5">
        <v>5</v>
      </c>
      <c r="D68" t="str">
        <f>LOOKUP(C64,Reference!$A$2:$X$2,Reference!A$6:X$6)</f>
        <v>@ 4 SY Each</v>
      </c>
      <c r="H68" s="12" t="s">
        <v>17</v>
      </c>
      <c r="I68" s="11">
        <f>IF(A64=1,4*C68*9,0)</f>
        <v>180</v>
      </c>
      <c r="J68" s="9"/>
      <c r="K68" s="12" t="s">
        <v>17</v>
      </c>
      <c r="L68">
        <f>IF(A64=2,4*C68*9,0)</f>
        <v>0</v>
      </c>
      <c r="N68" s="12" t="s">
        <v>17</v>
      </c>
      <c r="O68" s="11">
        <f>IF(A64=3,4*C68*9,0)</f>
        <v>0</v>
      </c>
      <c r="P68" s="9"/>
      <c r="Q68" s="12" t="s">
        <v>17</v>
      </c>
      <c r="R68" s="11">
        <f>IF(A64=4,4*C68*9,0)</f>
        <v>0</v>
      </c>
      <c r="S68" s="9"/>
      <c r="T68">
        <f aca="true" t="shared" si="38" ref="T68:T82">IF(W68&gt;0,U67+1,T67+0.00001)</f>
        <v>1.00001</v>
      </c>
      <c r="U68">
        <f aca="true" t="shared" si="39" ref="U68:U82">IF(T68&gt;U67+0.5,U67+1,U67)</f>
        <v>1</v>
      </c>
      <c r="V68" s="22">
        <f>LOOKUP(A64,Reference!$A$2:$X$2,Reference!$A$28:$X$28)</f>
        <v>823</v>
      </c>
      <c r="W68" s="22">
        <f>IF(A64=1,J74,0)+IF(A64=2,M77,0)+IF(A64=3,P74,0)+IF(A64=4,S77,0)</f>
        <v>0</v>
      </c>
      <c r="X68" s="22" t="str">
        <f>LOOKUP(B64,Reference!$A$2:$X$2,Reference!$A$28:$X$28)</f>
        <v>C.Y.</v>
      </c>
      <c r="Y68" s="22" t="str">
        <f>LOOKUP(C64,Reference!$A$2:$X$2,Reference!$A$28:$X$28)</f>
        <v>Asphalt intermediate course PG 64-22, Type 1 (823) applied, spread and compacted at the average depth of </v>
      </c>
      <c r="Z68" s="22">
        <f>IF(A64=1,C74,0)+IF(A64=2,C77,0)+IF(A64=3,O76,0)+IF(A64=4,R76,0)</f>
        <v>0</v>
      </c>
      <c r="AA68" s="22" t="str">
        <f>LOOKUP(D64,Reference!$A$2:$X$2,Reference!$A$28:$X$28)</f>
        <v> inches</v>
      </c>
      <c r="AB68" s="22">
        <f>IF(A64=3,O74,0)+IF(A64=4,R74,0)</f>
        <v>0</v>
      </c>
      <c r="AC68" s="22">
        <f>IF(A64=2,C81,0)</f>
        <v>0</v>
      </c>
      <c r="AD68" s="22">
        <f>LOOKUP(E64,Reference!$A$2:$X$2,Reference!$A$28:$X$28)</f>
        <v>0</v>
      </c>
      <c r="AE68" s="1">
        <f t="shared" si="27"/>
        <v>823</v>
      </c>
      <c r="AF68" s="1">
        <f t="shared" si="28"/>
      </c>
      <c r="AG68" s="1" t="str">
        <f t="shared" si="29"/>
        <v>C.Y.</v>
      </c>
      <c r="AH68" s="1" t="str">
        <f t="shared" si="30"/>
        <v>Asphalt intermediate course PG 64-22, Type 1 (823) applied, spread and compacted at the average depth of </v>
      </c>
      <c r="AI68" s="1">
        <f t="shared" si="31"/>
      </c>
      <c r="AJ68" s="1" t="str">
        <f t="shared" si="32"/>
        <v> inches</v>
      </c>
      <c r="AK68" s="1">
        <f t="shared" si="33"/>
      </c>
      <c r="AL68" s="1">
        <f t="shared" si="34"/>
      </c>
      <c r="AM68" s="1">
        <f t="shared" si="35"/>
      </c>
      <c r="AN68" s="1"/>
      <c r="AO68" s="27">
        <f>LOOKUP(F64,Reference!A$2:X$2,Reference!$A$28:$X$28)</f>
        <v>150</v>
      </c>
      <c r="AP68" s="30"/>
      <c r="AQ68" s="27">
        <f t="shared" si="36"/>
        <v>150</v>
      </c>
      <c r="AR68" s="1" t="str">
        <f t="shared" si="37"/>
        <v>Asphalt intermediate course PG 64-22, Type 1 (823) applied, spread and compacted at the average depth of  inches</v>
      </c>
    </row>
    <row r="69" spans="1:44" ht="12.75">
      <c r="A69" s="3" t="str">
        <f>LOOKUP(A64,Reference!$A$2:$X$2,Reference!A$7:X$7)</f>
        <v>Berm (Per Side)</v>
      </c>
      <c r="B69" s="3"/>
      <c r="C69" s="5"/>
      <c r="D69" t="str">
        <f>LOOKUP(C64,Reference!$A$2:$X$2,Reference!A$7:X$7)</f>
        <v>inches</v>
      </c>
      <c r="H69" s="12" t="s">
        <v>18</v>
      </c>
      <c r="I69" s="11">
        <f>IF(A64=1,C69*2*C73/12,0)</f>
        <v>0</v>
      </c>
      <c r="J69" s="9">
        <f>MROUND(I69*C70/12*1/27+0.4,1)</f>
        <v>0</v>
      </c>
      <c r="K69" s="12" t="s">
        <v>18</v>
      </c>
      <c r="L69">
        <f>IF(A64=2,C69*2*C74/12,0)</f>
        <v>0</v>
      </c>
      <c r="M69">
        <f>MROUND(L69*C70/12*1/27+0.4,1)</f>
        <v>0</v>
      </c>
      <c r="N69" s="12" t="s">
        <v>18</v>
      </c>
      <c r="O69" s="11">
        <f>IF(A64=3,C69*2*C73/12,0)</f>
        <v>0</v>
      </c>
      <c r="P69" s="9">
        <f>MROUND(O69*C70/12*1/27+0.4,1)</f>
        <v>0</v>
      </c>
      <c r="Q69" s="12" t="s">
        <v>18</v>
      </c>
      <c r="R69" s="11">
        <f>IF(A64=4,C69*2*C73/12,0)</f>
        <v>0</v>
      </c>
      <c r="S69" s="9">
        <f>MROUND(R69*C70/12*1/27+0.4,1)</f>
        <v>0</v>
      </c>
      <c r="T69">
        <f t="shared" si="38"/>
        <v>2</v>
      </c>
      <c r="U69">
        <f t="shared" si="39"/>
        <v>2</v>
      </c>
      <c r="V69" s="22">
        <f>LOOKUP(A64,Reference!$A$2:$X$2,Reference!$A$29:$X$29)</f>
        <v>823</v>
      </c>
      <c r="W69" s="22">
        <f>IF(AND(A64=1,NOT(C76=424)),J75,0)+IF(A64=2,L83,0)+IF(A64=3,P77,0)+IF(A64=4,S78,0)</f>
        <v>166</v>
      </c>
      <c r="X69" s="22" t="str">
        <f>LOOKUP(B64,Reference!$A$2:$X$2,Reference!$A$29:$X$29)</f>
        <v>C.Y.</v>
      </c>
      <c r="Y69" s="22" t="str">
        <f>LOOKUP(C64,Reference!$A$2:$X$2,Reference!$A$29:$X$29)</f>
        <v>Asphalt concrete surface course PG 64-22, Type 1 (823) applied, spread and compacted at the average depth of </v>
      </c>
      <c r="Z69" s="22">
        <f>IF(AND(A64=1,NOT(C76=424)),C75,0)+IF(A64=4,R78,0)</f>
        <v>1.5</v>
      </c>
      <c r="AA69" s="22" t="str">
        <f>LOOKUP(D64,Reference!$A$2:$X$2,Reference!$A$29:$X$29)</f>
        <v> inches</v>
      </c>
      <c r="AB69" s="22"/>
      <c r="AC69" s="22"/>
      <c r="AD69" s="22"/>
      <c r="AE69" s="1">
        <f t="shared" si="27"/>
        <v>823</v>
      </c>
      <c r="AF69" s="1">
        <f t="shared" si="28"/>
        <v>166</v>
      </c>
      <c r="AG69" s="1" t="str">
        <f t="shared" si="29"/>
        <v>C.Y.</v>
      </c>
      <c r="AH69" s="1" t="str">
        <f t="shared" si="30"/>
        <v>Asphalt concrete surface course PG 64-22, Type 1 (823) applied, spread and compacted at the average depth of </v>
      </c>
      <c r="AI69" s="1">
        <f t="shared" si="31"/>
        <v>1.5</v>
      </c>
      <c r="AJ69" s="1" t="str">
        <f t="shared" si="32"/>
        <v> inches</v>
      </c>
      <c r="AK69" s="1">
        <f t="shared" si="33"/>
      </c>
      <c r="AL69" s="1">
        <f t="shared" si="34"/>
      </c>
      <c r="AM69" s="1">
        <f t="shared" si="35"/>
      </c>
      <c r="AN69" s="1"/>
      <c r="AO69" s="27">
        <f>LOOKUP(F64,Reference!A$2:X$2,Reference!$A$29:$X$29)</f>
        <v>150</v>
      </c>
      <c r="AP69" s="30">
        <v>185</v>
      </c>
      <c r="AQ69" s="27">
        <f t="shared" si="36"/>
        <v>185</v>
      </c>
      <c r="AR69" s="1" t="str">
        <f t="shared" si="37"/>
        <v>Asphalt concrete surface course PG 64-22, Type 1 (823) applied, spread and compacted at the average depth of 1.5 inches</v>
      </c>
    </row>
    <row r="70" spans="1:44" ht="12.75">
      <c r="A70" s="3" t="str">
        <f>LOOKUP(A64,Reference!$A$2:$X$2,Reference!A$8:X$8)</f>
        <v>Berm Depth</v>
      </c>
      <c r="B70" s="3"/>
      <c r="C70" s="5"/>
      <c r="D70" t="str">
        <f>LOOKUP(C64,Reference!$A$2:$X$2,Reference!A$8:X$8)</f>
        <v>inches</v>
      </c>
      <c r="H70" s="12"/>
      <c r="I70" s="11"/>
      <c r="J70" s="9"/>
      <c r="K70" s="11"/>
      <c r="N70" s="7"/>
      <c r="O70" s="11"/>
      <c r="P70" s="9"/>
      <c r="R70" s="11"/>
      <c r="S70" s="9"/>
      <c r="T70">
        <f t="shared" si="38"/>
        <v>2.00001</v>
      </c>
      <c r="U70">
        <f t="shared" si="39"/>
        <v>2</v>
      </c>
      <c r="V70" s="22">
        <f>LOOKUP(A64,Reference!$A$2:$X$2,Reference!$A$30:$X$30)</f>
        <v>407</v>
      </c>
      <c r="W70" s="22">
        <f>+IF(A64=2,M77,0)+IF(A64=3,P69,0)+IF(A64=4,S77,0)+IF(A64=1,J78,0)</f>
        <v>0</v>
      </c>
      <c r="X70" s="22" t="str">
        <f>LOOKUP(B64,Reference!$A$2:$X$2,Reference!$A$30:$X$30)</f>
        <v>Gal</v>
      </c>
      <c r="Y70" s="22" t="str">
        <f>LOOKUP(C64,Reference!$A$2:$X$2,Reference!$A$30:$X$30)</f>
        <v>Rubberized Latex Tack Coat (0.08 Gal./S.Y.)</v>
      </c>
      <c r="Z70" s="22">
        <f>IF(A64=2,C78,0)+IF(A64=3,C70,0)+IF(A64=4,R79,0)</f>
        <v>0</v>
      </c>
      <c r="AA70" s="22">
        <f>LOOKUP(D64,Reference!$A$2:$X$2,Reference!$A$30:$X$30)</f>
        <v>0</v>
      </c>
      <c r="AB70" s="22">
        <f>IF(A64=4,R77,0)</f>
        <v>0</v>
      </c>
      <c r="AC70" s="22"/>
      <c r="AD70" s="22">
        <f>LOOKUP(E64,Reference!$A$2:$X$2,Reference!$A$30:$X$30)</f>
        <v>0</v>
      </c>
      <c r="AE70" s="1">
        <f t="shared" si="27"/>
        <v>407</v>
      </c>
      <c r="AF70" s="1">
        <f t="shared" si="28"/>
      </c>
      <c r="AG70" s="1" t="str">
        <f t="shared" si="29"/>
        <v>Gal</v>
      </c>
      <c r="AH70" s="1" t="str">
        <f t="shared" si="30"/>
        <v>Rubberized Latex Tack Coat (0.08 Gal./S.Y.)</v>
      </c>
      <c r="AI70" s="1">
        <f t="shared" si="31"/>
      </c>
      <c r="AJ70" s="1">
        <f t="shared" si="32"/>
      </c>
      <c r="AK70" s="1">
        <f t="shared" si="33"/>
      </c>
      <c r="AL70" s="1">
        <f t="shared" si="34"/>
      </c>
      <c r="AM70" s="1">
        <f t="shared" si="35"/>
      </c>
      <c r="AN70" s="1"/>
      <c r="AO70" s="27">
        <f>LOOKUP(F64,Reference!A$2:X$2,Reference!$A$30:$X$30)</f>
        <v>3.5</v>
      </c>
      <c r="AP70" s="30"/>
      <c r="AQ70" s="27">
        <f t="shared" si="36"/>
        <v>3.5</v>
      </c>
      <c r="AR70" s="1" t="str">
        <f t="shared" si="37"/>
        <v>Rubberized Latex Tack Coat (0.08 Gal./S.Y.)</v>
      </c>
    </row>
    <row r="71" spans="1:44" ht="12.75">
      <c r="A71" s="3" t="str">
        <f>LOOKUP(A64,Reference!$A$2:$X$2,Reference!A$9:X$9)</f>
        <v>Pavement Planing</v>
      </c>
      <c r="B71" s="3"/>
      <c r="C71" s="5"/>
      <c r="D71" s="5"/>
      <c r="E71" s="5"/>
      <c r="F71" s="5"/>
      <c r="G71" s="5"/>
      <c r="H71" s="7" t="s">
        <v>52</v>
      </c>
      <c r="I71" s="11">
        <f>IF(A64=1,C71,0)</f>
        <v>0</v>
      </c>
      <c r="J71" s="9">
        <f>IF(A64=1,SUM(D71:G71),0)</f>
        <v>0</v>
      </c>
      <c r="K71" s="7" t="s">
        <v>52</v>
      </c>
      <c r="L71" s="11">
        <f>IF(A64=2,C71,0)</f>
        <v>0</v>
      </c>
      <c r="M71" s="11">
        <f>IF(A64=2,SUM(D71:G71),0)</f>
        <v>0</v>
      </c>
      <c r="N71" s="7"/>
      <c r="O71" s="11"/>
      <c r="P71" s="9"/>
      <c r="R71" s="11"/>
      <c r="S71" s="9"/>
      <c r="T71">
        <f t="shared" si="38"/>
        <v>2.00002</v>
      </c>
      <c r="U71">
        <f t="shared" si="39"/>
        <v>2</v>
      </c>
      <c r="V71" s="22">
        <f>LOOKUP(A64,Reference!$A$2:$X$2,Reference!$A$31:$X$31)</f>
        <v>424</v>
      </c>
      <c r="W71" s="22">
        <f>IF(A64=2,M80+M81,0)+IF(AND(C73&gt;0,A64=3),1,0)+IF(A64=4,S80,0)+IF(AND(A64=1,C76=424),J75,0)</f>
        <v>0</v>
      </c>
      <c r="X71" s="22" t="str">
        <f>LOOKUP(B64,Reference!$A$2:$X$2,Reference!$A$31:$X$31)</f>
        <v>C.Y.</v>
      </c>
      <c r="Y71" s="22" t="str">
        <f>LOOKUP(C64,Reference!$A$2:$X$2,Reference!$A$31:$X$31)</f>
        <v>Type B Smooth Seal Asphalt PG76-22, spread and compacted at the average depth of </v>
      </c>
      <c r="Z71" s="28">
        <f>IF(AND(A64=1,C76=424),C75,0)</f>
        <v>0</v>
      </c>
      <c r="AA71" s="22" t="str">
        <f>LOOKUP(D64,Reference!$A$2:$X$2,Reference!$A$31:$X$31)</f>
        <v> inches</v>
      </c>
      <c r="AB71" s="22"/>
      <c r="AC71" s="22"/>
      <c r="AD71" s="22"/>
      <c r="AE71" s="1">
        <f t="shared" si="27"/>
        <v>424</v>
      </c>
      <c r="AF71" s="1">
        <f t="shared" si="28"/>
      </c>
      <c r="AG71" s="1" t="str">
        <f t="shared" si="29"/>
        <v>C.Y.</v>
      </c>
      <c r="AH71" s="1" t="str">
        <f t="shared" si="30"/>
        <v>Type B Smooth Seal Asphalt PG76-22, spread and compacted at the average depth of </v>
      </c>
      <c r="AI71" s="1">
        <f t="shared" si="31"/>
      </c>
      <c r="AJ71" s="1" t="str">
        <f t="shared" si="32"/>
        <v> inches</v>
      </c>
      <c r="AK71" s="1">
        <f t="shared" si="33"/>
      </c>
      <c r="AL71" s="1">
        <f t="shared" si="34"/>
      </c>
      <c r="AM71" s="1">
        <f t="shared" si="35"/>
      </c>
      <c r="AN71" s="1"/>
      <c r="AO71" s="27">
        <f>LOOKUP(F64,Reference!A$2:X$2,Reference!$A$31:$X$31)</f>
        <v>210</v>
      </c>
      <c r="AP71" s="30"/>
      <c r="AQ71" s="27">
        <f t="shared" si="36"/>
        <v>210</v>
      </c>
      <c r="AR71" s="1" t="str">
        <f t="shared" si="37"/>
        <v>Type B Smooth Seal Asphalt PG76-22, spread and compacted at the average depth of  inches</v>
      </c>
    </row>
    <row r="72" spans="1:44" ht="12.75">
      <c r="A72" s="3" t="str">
        <f>LOOKUP(A64,Reference!$A$2:$X$2,Reference!A$10:X$10)</f>
        <v>Pavement Width</v>
      </c>
      <c r="B72" s="3"/>
      <c r="C72" s="5">
        <v>19</v>
      </c>
      <c r="D72" t="str">
        <f>LOOKUP(C64,Reference!$A$2:$X$2,Reference!A$10:X$10)</f>
        <v>feet</v>
      </c>
      <c r="H72" s="12" t="s">
        <v>48</v>
      </c>
      <c r="I72" s="11">
        <f>IF(A64=1,C72*C73,0)</f>
        <v>35435</v>
      </c>
      <c r="J72" s="9"/>
      <c r="K72" s="14" t="s">
        <v>53</v>
      </c>
      <c r="L72">
        <f>IF(A64=2,C72,0)</f>
        <v>0</v>
      </c>
      <c r="N72" s="17" t="s">
        <v>48</v>
      </c>
      <c r="O72" s="11">
        <f>IF(A64=3,C72*C73,0)</f>
        <v>0</v>
      </c>
      <c r="P72" s="9"/>
      <c r="Q72" s="17" t="s">
        <v>48</v>
      </c>
      <c r="R72" s="11">
        <f>IF(A64=4,C72*C73,0)</f>
        <v>0</v>
      </c>
      <c r="S72" s="9"/>
      <c r="T72">
        <f t="shared" si="38"/>
        <v>2.00003</v>
      </c>
      <c r="U72">
        <f t="shared" si="39"/>
        <v>2</v>
      </c>
      <c r="V72" s="22">
        <f>LOOKUP(A64,Reference!$A$2:$X$2,Reference!$A$32:$X$32)</f>
        <v>617</v>
      </c>
      <c r="W72" s="22">
        <f>IF(A64=2,M75,0)+IF(AND(C73&gt;0,A64=3),1,0)+IF(A64=4,S69,0)+IF(A64=1,J69,0)</f>
        <v>0</v>
      </c>
      <c r="X72" s="22" t="str">
        <f>LOOKUP(B64,Reference!$A$2:$X$2,Reference!$A$32:$X$32)</f>
        <v>C.Y.</v>
      </c>
      <c r="Y72" s="22" t="str">
        <f>LOOKUP(C64,Reference!$A$2:$X$2,Reference!$A$32:$X$32)</f>
        <v>Stabilized crushed aggregate berm in place and compacted at the average depth of </v>
      </c>
      <c r="Z72" s="22">
        <f>IF(A64=2,C75,0)+IF(A64=4,C70,0)+IF(A64=1,C70,0)</f>
        <v>0</v>
      </c>
      <c r="AA72" s="22" t="str">
        <f>LOOKUP(D64,Reference!$A$2:$X$2,Reference!$A$32:$X$32)</f>
        <v> inches</v>
      </c>
      <c r="AB72" s="22"/>
      <c r="AC72" s="22"/>
      <c r="AD72" s="22"/>
      <c r="AE72" s="1">
        <f t="shared" si="27"/>
        <v>617</v>
      </c>
      <c r="AF72" s="1">
        <f t="shared" si="28"/>
      </c>
      <c r="AG72" s="1" t="str">
        <f t="shared" si="29"/>
        <v>C.Y.</v>
      </c>
      <c r="AH72" s="1" t="str">
        <f t="shared" si="30"/>
        <v>Stabilized crushed aggregate berm in place and compacted at the average depth of </v>
      </c>
      <c r="AI72" s="1">
        <f t="shared" si="31"/>
      </c>
      <c r="AJ72" s="1" t="str">
        <f t="shared" si="32"/>
        <v> inches</v>
      </c>
      <c r="AK72" s="1">
        <f t="shared" si="33"/>
      </c>
      <c r="AL72" s="1">
        <f t="shared" si="34"/>
      </c>
      <c r="AM72" s="1">
        <f t="shared" si="35"/>
      </c>
      <c r="AN72" s="1"/>
      <c r="AO72" s="27">
        <f>LOOKUP(F64,Reference!A$2:X$2,Reference!$A$32:$X$32)</f>
        <v>58</v>
      </c>
      <c r="AP72" s="30"/>
      <c r="AQ72" s="27">
        <f t="shared" si="36"/>
        <v>58</v>
      </c>
      <c r="AR72" s="1" t="str">
        <f t="shared" si="37"/>
        <v>Stabilized crushed aggregate berm in place and compacted at the average depth of  inches</v>
      </c>
    </row>
    <row r="73" spans="1:44" ht="12.75">
      <c r="A73" s="3" t="str">
        <f>LOOKUP(A64,Reference!$A$2:$X$2,Reference!A$11:X$11)</f>
        <v>Pavement Length</v>
      </c>
      <c r="B73" s="3"/>
      <c r="C73" s="5">
        <v>1865</v>
      </c>
      <c r="D73" t="str">
        <f>LOOKUP(C64,Reference!$A$2:$X$2,Reference!A$11:X$11)</f>
        <v>feet</v>
      </c>
      <c r="H73" s="12" t="s">
        <v>46</v>
      </c>
      <c r="I73" s="11">
        <f>IF(A64=1,I72+I68+I67,0)</f>
        <v>35795</v>
      </c>
      <c r="J73" s="9"/>
      <c r="K73" s="12" t="s">
        <v>48</v>
      </c>
      <c r="L73">
        <f>IF(A64=2,C73*C74,0)</f>
        <v>0</v>
      </c>
      <c r="N73" s="17" t="s">
        <v>46</v>
      </c>
      <c r="O73" s="11">
        <f>O72+O67+O68</f>
        <v>0</v>
      </c>
      <c r="P73" s="9"/>
      <c r="Q73" s="17" t="s">
        <v>46</v>
      </c>
      <c r="R73" s="11">
        <f>R72+R67+R68</f>
        <v>0</v>
      </c>
      <c r="S73" s="9"/>
      <c r="T73">
        <f t="shared" si="38"/>
        <v>2.0000400000000003</v>
      </c>
      <c r="U73">
        <f t="shared" si="39"/>
        <v>2</v>
      </c>
      <c r="V73" s="22">
        <f>LOOKUP(A64,Reference!$A$2:$X$2,Reference!$A$33:$X$33)</f>
        <v>254</v>
      </c>
      <c r="W73" s="22">
        <f>IF(AND(A64=2,NOT(C82=424)),M76,0)+IF(AND(C73&gt;0,A64=3),1,0)+IF(AND(C73&gt;0,A64=4),1,0)+IF(A64=1,I71,0)</f>
        <v>0</v>
      </c>
      <c r="X73" s="22" t="str">
        <f>LOOKUP(B64,Reference!$A$2:$X$2,Reference!$A$33:$X$33)</f>
        <v>S.Y.</v>
      </c>
      <c r="Y73" s="22" t="str">
        <f>LOOKUP(C64,Reference!$A$2:$X$2,Reference!$A$33:$X$33)</f>
        <v>Pavement Planing</v>
      </c>
      <c r="Z73" s="22">
        <f>IF(AND(A64=2,NOT(C82=424)),C76,0)+IF(A64=1,J71,0)</f>
        <v>0</v>
      </c>
      <c r="AA73" s="22" t="str">
        <f>LOOKUP(D64,Reference!$A$2:$X$2,Reference!$A$33:$X$33)</f>
        <v> (20' length including radius)</v>
      </c>
      <c r="AB73" s="22"/>
      <c r="AC73" s="22"/>
      <c r="AD73" s="22"/>
      <c r="AE73" s="1">
        <f t="shared" si="27"/>
        <v>254</v>
      </c>
      <c r="AF73" s="1">
        <f t="shared" si="28"/>
      </c>
      <c r="AG73" s="1" t="str">
        <f t="shared" si="29"/>
        <v>S.Y.</v>
      </c>
      <c r="AH73" s="1" t="str">
        <f t="shared" si="30"/>
        <v>Pavement Planing</v>
      </c>
      <c r="AI73" s="1">
        <f t="shared" si="31"/>
      </c>
      <c r="AJ73" s="1" t="str">
        <f t="shared" si="32"/>
        <v> (20' length including radius)</v>
      </c>
      <c r="AK73" s="1">
        <f t="shared" si="33"/>
      </c>
      <c r="AL73" s="1">
        <f t="shared" si="34"/>
      </c>
      <c r="AM73" s="1">
        <f t="shared" si="35"/>
      </c>
      <c r="AN73" s="1"/>
      <c r="AO73" s="27">
        <f>LOOKUP(F64,Reference!A$2:X$2,Reference!$A$33:$X$33)</f>
        <v>15</v>
      </c>
      <c r="AP73" s="30">
        <v>12</v>
      </c>
      <c r="AQ73" s="27">
        <f t="shared" si="36"/>
        <v>12</v>
      </c>
      <c r="AR73" s="1" t="str">
        <f t="shared" si="37"/>
        <v>Pavement Planing (20' length including radius)</v>
      </c>
    </row>
    <row r="74" spans="1:44" ht="12.75">
      <c r="A74" s="3" t="str">
        <f>LOOKUP(A64,Reference!$A$2:$X$2,Reference!A$12:X$12)</f>
        <v>Intermediate Course</v>
      </c>
      <c r="B74" s="3"/>
      <c r="C74" s="5"/>
      <c r="D74" t="str">
        <f>LOOKUP(C64,Reference!$A$2:$X$2,Reference!A$12:X$12)</f>
        <v>inches</v>
      </c>
      <c r="H74" s="7"/>
      <c r="I74" s="11"/>
      <c r="J74" s="13">
        <f>MROUND(I73*C74/12*1/27+0.4,1)</f>
        <v>0</v>
      </c>
      <c r="K74" s="12" t="s">
        <v>46</v>
      </c>
      <c r="L74">
        <f>IF(A64=2,L67+L68+L72+L73,0)</f>
        <v>0</v>
      </c>
      <c r="N74" s="18" t="s">
        <v>70</v>
      </c>
      <c r="O74" s="8">
        <f>IF(A64=3,C74,0)</f>
        <v>0</v>
      </c>
      <c r="P74" s="9">
        <f>MROUND(O73/9*O74/2400+2,5)</f>
        <v>0</v>
      </c>
      <c r="Q74" s="18" t="s">
        <v>77</v>
      </c>
      <c r="R74" s="8">
        <f>IF(A64=4,C74,0)</f>
        <v>0</v>
      </c>
      <c r="S74" s="9">
        <f>MROUND(R73/9*R74/2400+2,5)</f>
        <v>0</v>
      </c>
      <c r="T74">
        <f t="shared" si="38"/>
        <v>3</v>
      </c>
      <c r="U74">
        <f t="shared" si="39"/>
        <v>3</v>
      </c>
      <c r="V74" s="22">
        <f>LOOKUP(A64,Reference!$A$2:$X$2,Reference!$A$34:$X$34)</f>
        <v>614</v>
      </c>
      <c r="W74" s="22">
        <f>IF(AND(C73&gt;0,A64=1),1,0)+IF(AND(C73&gt;0,A64=4),1,0)+IF(A64=2,M82,0)</f>
        <v>1</v>
      </c>
      <c r="X74" s="22" t="str">
        <f>LOOKUP(B64,Reference!$A$2:$X$2,Reference!$A$34:$X$34)</f>
        <v>L.S.</v>
      </c>
      <c r="Y74" s="22" t="str">
        <f>LOOKUP(C64,Reference!$A$2:$X$2,Reference!$A$34:$X$34)</f>
        <v>Maintaining Traffic</v>
      </c>
      <c r="Z74" s="22"/>
      <c r="AA74" s="22">
        <f>LOOKUP(D64,Reference!$A$2:$X$2,Reference!$A$34:$X$34)</f>
        <v>0</v>
      </c>
      <c r="AB74" s="22"/>
      <c r="AC74" s="22"/>
      <c r="AD74" s="22"/>
      <c r="AE74" s="1">
        <f t="shared" si="27"/>
        <v>614</v>
      </c>
      <c r="AF74" s="1">
        <f t="shared" si="28"/>
        <v>1</v>
      </c>
      <c r="AG74" s="1" t="str">
        <f t="shared" si="29"/>
        <v>L.S.</v>
      </c>
      <c r="AH74" s="1" t="str">
        <f t="shared" si="30"/>
        <v>Maintaining Traffic</v>
      </c>
      <c r="AI74" s="1">
        <f t="shared" si="31"/>
      </c>
      <c r="AJ74" s="1">
        <f t="shared" si="32"/>
      </c>
      <c r="AK74" s="1">
        <f t="shared" si="33"/>
      </c>
      <c r="AL74" s="1">
        <f t="shared" si="34"/>
      </c>
      <c r="AM74" s="1">
        <f t="shared" si="35"/>
      </c>
      <c r="AN74" s="1"/>
      <c r="AO74" s="27">
        <f>LOOKUP(F64,Reference!A$2:X$2,Reference!$A$34:$X$34)</f>
        <v>2000</v>
      </c>
      <c r="AP74" s="30">
        <v>3000</v>
      </c>
      <c r="AQ74" s="27">
        <f t="shared" si="36"/>
        <v>3000</v>
      </c>
      <c r="AR74" s="1" t="str">
        <f t="shared" si="37"/>
        <v>Maintaining Traffic</v>
      </c>
    </row>
    <row r="75" spans="1:44" ht="12.75">
      <c r="A75" s="3" t="str">
        <f>LOOKUP(A64,Reference!$A$2:$X$2,Reference!A$13:X$13)</f>
        <v>Surface Course</v>
      </c>
      <c r="B75" s="3"/>
      <c r="C75" s="5">
        <v>1.5</v>
      </c>
      <c r="D75" t="str">
        <f>LOOKUP(C64,Reference!$A$2:$X$2,Reference!A$13:X$13)</f>
        <v>inches</v>
      </c>
      <c r="H75" s="7"/>
      <c r="I75" s="11"/>
      <c r="J75" s="13">
        <f>MROUND(I73*C75/12*1/27+0.4,1)</f>
        <v>166</v>
      </c>
      <c r="K75" s="3" t="s">
        <v>54</v>
      </c>
      <c r="M75">
        <f>MROUND(L74*C75/12*1/27,1)</f>
        <v>0</v>
      </c>
      <c r="N75" s="18" t="s">
        <v>64</v>
      </c>
      <c r="O75" s="11">
        <f>IF(A64=3,C75,0)</f>
        <v>0</v>
      </c>
      <c r="P75" s="9">
        <f>MROUND(O75*O73/9+2.4,5)</f>
        <v>0</v>
      </c>
      <c r="Q75" s="18" t="s">
        <v>78</v>
      </c>
      <c r="R75" s="11">
        <f>IF(A64=4,C75,0)</f>
        <v>0</v>
      </c>
      <c r="S75" s="9">
        <f>MROUND(R75*R73/9+2.4,5)</f>
        <v>0</v>
      </c>
      <c r="T75">
        <f t="shared" si="38"/>
        <v>4</v>
      </c>
      <c r="U75">
        <f t="shared" si="39"/>
        <v>4</v>
      </c>
      <c r="V75" s="22">
        <f>LOOKUP(A64,Reference!$A$2:$X$2,Reference!$A$35:$X$35)</f>
        <v>624</v>
      </c>
      <c r="W75" s="22">
        <f>IF(AND(C73&gt;0,A64=1),1,0)+IF(AND(C73&gt;0,A64=4),1,0)+IF(AND(A64=2,C82=424),M76,0)</f>
        <v>1</v>
      </c>
      <c r="X75" s="22" t="str">
        <f>LOOKUP(B64,Reference!$A$2:$X$2,Reference!$A$35:$X$35)</f>
        <v>L.S.</v>
      </c>
      <c r="Y75" s="22" t="str">
        <f>LOOKUP(C64,Reference!$A$2:$X$2,Reference!$A$35:$X$35)</f>
        <v>Mobilization</v>
      </c>
      <c r="Z75" s="22">
        <f>IF(AND(A64=2,C82=424),C76,0)</f>
        <v>0</v>
      </c>
      <c r="AA75" s="22">
        <f>LOOKUP(D64,Reference!$A$2:$X$2,Reference!$A$35:$X$35)</f>
        <v>0</v>
      </c>
      <c r="AB75" s="22"/>
      <c r="AC75" s="22"/>
      <c r="AD75" s="22"/>
      <c r="AE75" s="1">
        <f t="shared" si="27"/>
        <v>624</v>
      </c>
      <c r="AF75" s="1">
        <f t="shared" si="28"/>
        <v>1</v>
      </c>
      <c r="AG75" s="1" t="str">
        <f t="shared" si="29"/>
        <v>L.S.</v>
      </c>
      <c r="AH75" s="1" t="str">
        <f t="shared" si="30"/>
        <v>Mobilization</v>
      </c>
      <c r="AI75" s="1">
        <f t="shared" si="31"/>
      </c>
      <c r="AJ75" s="1">
        <f t="shared" si="32"/>
      </c>
      <c r="AK75" s="1">
        <f t="shared" si="33"/>
      </c>
      <c r="AL75" s="1">
        <f t="shared" si="34"/>
      </c>
      <c r="AM75" s="1">
        <f t="shared" si="35"/>
      </c>
      <c r="AN75" s="1"/>
      <c r="AO75" s="27">
        <f>LOOKUP(F64,Reference!A$2:X$2,Reference!$A$35:$X$35)</f>
        <v>3000</v>
      </c>
      <c r="AP75" s="30">
        <v>1500</v>
      </c>
      <c r="AQ75" s="27">
        <f t="shared" si="36"/>
        <v>1500</v>
      </c>
      <c r="AR75" s="1" t="str">
        <f t="shared" si="37"/>
        <v>Mobilization</v>
      </c>
    </row>
    <row r="76" spans="1:44" ht="12.75">
      <c r="A76" s="3" t="str">
        <f>LOOKUP(A64,Reference!$A$2:$X$2,Reference!A$14:X$14)</f>
        <v>Type of Surface </v>
      </c>
      <c r="B76" s="3"/>
      <c r="C76" s="5">
        <v>823</v>
      </c>
      <c r="D76" t="str">
        <f>LOOKUP(C64,Reference!$A$2:$X$2,Reference!A$14:X$14)</f>
        <v>(424, 823, 448)</v>
      </c>
      <c r="H76" s="12" t="s">
        <v>88</v>
      </c>
      <c r="I76" s="11">
        <v>0.05</v>
      </c>
      <c r="J76" s="9">
        <f>MROUND(I76*I73/9,5)</f>
        <v>200</v>
      </c>
      <c r="K76" s="8" t="s">
        <v>55</v>
      </c>
      <c r="M76">
        <f>MROUND(L74*C76/12*1/27,1)</f>
        <v>0</v>
      </c>
      <c r="N76" s="12" t="s">
        <v>69</v>
      </c>
      <c r="O76" s="11">
        <f>IF(A64=3,C76,0)</f>
        <v>0</v>
      </c>
      <c r="P76" s="9"/>
      <c r="Q76" s="12" t="s">
        <v>79</v>
      </c>
      <c r="R76" s="11">
        <f>IF(A64=4,C76,0)</f>
        <v>0</v>
      </c>
      <c r="S76" s="9"/>
      <c r="T76">
        <f t="shared" si="38"/>
        <v>5</v>
      </c>
      <c r="U76">
        <f t="shared" si="39"/>
        <v>5</v>
      </c>
      <c r="V76" s="22">
        <f>LOOKUP(A64,Reference!$A$2:$X$2,Reference!$A$36:$X$36)</f>
        <v>103.05</v>
      </c>
      <c r="W76" s="22">
        <f>+IF(A64=2,M69,0)+IF(AND(C73&gt;0,A64=1),1,0)</f>
        <v>1</v>
      </c>
      <c r="X76" s="22" t="str">
        <f>LOOKUP(B64,Reference!$A$2:$X$2,Reference!$A$36:$X$36)</f>
        <v>L.S.</v>
      </c>
      <c r="Y76" s="22" t="str">
        <f>LOOKUP(C64,Reference!$A$2:$X$2,Reference!$A$36:$X$36)</f>
        <v>Contract Performance &amp; Payment Bond</v>
      </c>
      <c r="Z76" s="22">
        <f>IF(A64=2,C70,0)</f>
        <v>0</v>
      </c>
      <c r="AA76" s="22">
        <f>LOOKUP(D64,Reference!$A$2:$X$2,Reference!$A$36:$X$36)</f>
        <v>0</v>
      </c>
      <c r="AB76" s="22"/>
      <c r="AC76" s="22"/>
      <c r="AD76" s="22"/>
      <c r="AE76" s="1">
        <f t="shared" si="27"/>
        <v>103.05</v>
      </c>
      <c r="AF76" s="1">
        <f t="shared" si="28"/>
        <v>1</v>
      </c>
      <c r="AG76" s="1" t="str">
        <f t="shared" si="29"/>
        <v>L.S.</v>
      </c>
      <c r="AH76" s="1" t="str">
        <f t="shared" si="30"/>
        <v>Contract Performance &amp; Payment Bond</v>
      </c>
      <c r="AI76" s="1">
        <f t="shared" si="31"/>
      </c>
      <c r="AJ76" s="1">
        <f t="shared" si="32"/>
      </c>
      <c r="AK76" s="1">
        <f t="shared" si="33"/>
      </c>
      <c r="AL76" s="1">
        <f t="shared" si="34"/>
      </c>
      <c r="AM76" s="1">
        <f t="shared" si="35"/>
      </c>
      <c r="AN76" s="1"/>
      <c r="AO76" s="27">
        <f>LOOKUP(F64,Reference!A$2:X$2,Reference!$A$36:$X$36)</f>
        <v>1000</v>
      </c>
      <c r="AP76" s="30">
        <v>900</v>
      </c>
      <c r="AQ76" s="27">
        <f t="shared" si="36"/>
        <v>900</v>
      </c>
      <c r="AR76" s="1" t="str">
        <f t="shared" si="37"/>
        <v>Contract Performance &amp; Payment Bond</v>
      </c>
    </row>
    <row r="77" spans="1:44" ht="12.75">
      <c r="A77" s="3">
        <f>LOOKUP(A64,Reference!$A$2:$X$2,Reference!A$15:X$15)</f>
        <v>0</v>
      </c>
      <c r="B77" s="3"/>
      <c r="C77" s="5">
        <v>0</v>
      </c>
      <c r="D77">
        <f>LOOKUP(C64,Reference!$A$2:$X$2,Reference!A$15:X$15)</f>
        <v>0</v>
      </c>
      <c r="H77" s="12" t="s">
        <v>89</v>
      </c>
      <c r="I77" s="11">
        <f>IF(C74&gt;0.1,0.05,0)</f>
        <v>0</v>
      </c>
      <c r="J77" s="9">
        <f>IF(AND(A64=1,NOT(C76=424)),MROUND(I77*I73/9,5),0)</f>
        <v>0</v>
      </c>
      <c r="K77" s="15" t="s">
        <v>57</v>
      </c>
      <c r="L77">
        <f>IF(A64=2,C74*C77,0)</f>
        <v>0</v>
      </c>
      <c r="M77">
        <f>MROUND(L77*C78/12*1/27,1)</f>
        <v>0</v>
      </c>
      <c r="N77" s="12" t="s">
        <v>59</v>
      </c>
      <c r="O77" s="11">
        <f>IF(A64=3,C77,0)</f>
        <v>0</v>
      </c>
      <c r="P77" s="9">
        <f>MROUND(O77*O73/9+2.4,5)</f>
        <v>0</v>
      </c>
      <c r="Q77" s="18" t="s">
        <v>80</v>
      </c>
      <c r="R77" s="8">
        <f>IF(A64=4,C77,0)</f>
        <v>0</v>
      </c>
      <c r="S77" s="9">
        <f>MROUND(R73/9*R77/2400+2,5)</f>
        <v>0</v>
      </c>
      <c r="T77">
        <f t="shared" si="38"/>
        <v>5.00001</v>
      </c>
      <c r="U77">
        <f t="shared" si="39"/>
        <v>5</v>
      </c>
      <c r="V77" s="22">
        <f>LOOKUP(A64,Reference!$A$2:$X$2,Reference!$A$37:$X$37)</f>
        <v>0</v>
      </c>
      <c r="W77" s="22">
        <f>IF(A64=2,L71,0)</f>
        <v>0</v>
      </c>
      <c r="X77" s="22">
        <f>LOOKUP(B64,Reference!$A$2:$X$2,Reference!$A$37:$X$37)</f>
        <v>0</v>
      </c>
      <c r="Y77" s="22">
        <f>LOOKUP(C64,Reference!$A$2:$X$2,Reference!$A$37:$X$37)</f>
        <v>0</v>
      </c>
      <c r="Z77" s="22">
        <f>IF(A64=2,M71,0)</f>
        <v>0</v>
      </c>
      <c r="AA77" s="22">
        <f>LOOKUP(D64,Reference!$A$2:$X$2,Reference!$A$37:$X$37)</f>
        <v>0</v>
      </c>
      <c r="AB77" s="22"/>
      <c r="AC77" s="22"/>
      <c r="AD77" s="22"/>
      <c r="AE77" s="1">
        <f t="shared" si="27"/>
      </c>
      <c r="AF77" s="1">
        <f t="shared" si="28"/>
      </c>
      <c r="AG77" s="1">
        <f t="shared" si="29"/>
      </c>
      <c r="AH77" s="1">
        <f t="shared" si="30"/>
      </c>
      <c r="AI77" s="1">
        <f t="shared" si="31"/>
      </c>
      <c r="AJ77" s="1">
        <f t="shared" si="32"/>
      </c>
      <c r="AK77" s="1">
        <f t="shared" si="33"/>
      </c>
      <c r="AL77" s="1">
        <f t="shared" si="34"/>
      </c>
      <c r="AM77" s="1">
        <f t="shared" si="35"/>
      </c>
      <c r="AN77" s="1"/>
      <c r="AO77" s="27">
        <f>LOOKUP(F64,Reference!A$2:X$2,Reference!$A$37:$X$37)</f>
        <v>0</v>
      </c>
      <c r="AP77" s="30"/>
      <c r="AQ77" s="27">
        <f t="shared" si="36"/>
        <v>0</v>
      </c>
      <c r="AR77" s="1">
        <f t="shared" si="37"/>
      </c>
    </row>
    <row r="78" spans="1:44" ht="12.75">
      <c r="A78" s="3">
        <f>LOOKUP(A64,Reference!$A$2:$X$2,Reference!A$16:X$16)</f>
        <v>0</v>
      </c>
      <c r="B78" s="3"/>
      <c r="C78" s="5">
        <v>0</v>
      </c>
      <c r="D78">
        <f>LOOKUP(C64,Reference!$A$2:$X$2,Reference!A$16:X$16)</f>
        <v>0</v>
      </c>
      <c r="H78" s="16" t="s">
        <v>132</v>
      </c>
      <c r="I78" s="11">
        <v>0.05</v>
      </c>
      <c r="J78" s="9">
        <f>IF(AND(A64=1,C76=424),MROUND(I78*I73/9,5),0)</f>
        <v>0</v>
      </c>
      <c r="K78" s="15" t="s">
        <v>96</v>
      </c>
      <c r="L78">
        <f>IF(A64=2,C79,0)</f>
        <v>0</v>
      </c>
      <c r="N78" s="7"/>
      <c r="O78" s="11"/>
      <c r="P78" s="9"/>
      <c r="Q78" s="18" t="s">
        <v>81</v>
      </c>
      <c r="R78" s="11">
        <f>IF(A64=4,C78,0)</f>
        <v>0</v>
      </c>
      <c r="S78" s="9">
        <f>MROUND(R78*R73/9+2.4,5)</f>
        <v>0</v>
      </c>
      <c r="T78">
        <f t="shared" si="38"/>
        <v>5.000019999999999</v>
      </c>
      <c r="U78">
        <f t="shared" si="39"/>
        <v>5</v>
      </c>
      <c r="V78" s="22">
        <f>LOOKUP(A64,Reference!$A$2:$X$2,Reference!$A$38:$X$38)</f>
        <v>0</v>
      </c>
      <c r="W78" s="22">
        <f>IF(AND(C74&gt;0,A64=2),1,0)</f>
        <v>0</v>
      </c>
      <c r="X78" s="22">
        <f>LOOKUP(B64,Reference!$A$2:$X$2,Reference!$A$38:$X$38)</f>
        <v>0</v>
      </c>
      <c r="Y78" s="22">
        <f>LOOKUP(C64,Reference!$A$2:$X$2,Reference!$A$38:$X$38)</f>
        <v>0</v>
      </c>
      <c r="Z78" s="22"/>
      <c r="AA78" s="22">
        <f>LOOKUP(D64,Reference!$A$2:$X$2,Reference!$A$38:$X$38)</f>
        <v>0</v>
      </c>
      <c r="AB78" s="22"/>
      <c r="AC78" s="22"/>
      <c r="AD78" s="22"/>
      <c r="AE78" s="1">
        <f t="shared" si="27"/>
      </c>
      <c r="AF78" s="1">
        <f t="shared" si="28"/>
      </c>
      <c r="AG78" s="1">
        <f t="shared" si="29"/>
      </c>
      <c r="AH78" s="1">
        <f t="shared" si="30"/>
      </c>
      <c r="AI78" s="1">
        <f t="shared" si="31"/>
      </c>
      <c r="AJ78" s="1">
        <f t="shared" si="32"/>
      </c>
      <c r="AK78" s="1">
        <f t="shared" si="33"/>
      </c>
      <c r="AL78" s="1">
        <f t="shared" si="34"/>
      </c>
      <c r="AM78" s="1">
        <f t="shared" si="35"/>
      </c>
      <c r="AN78" s="1"/>
      <c r="AO78" s="27">
        <f>LOOKUP(F64,Reference!A$2:X$2,Reference!$A$38:$X$38)</f>
        <v>0</v>
      </c>
      <c r="AP78" s="30"/>
      <c r="AQ78" s="27">
        <f t="shared" si="36"/>
        <v>0</v>
      </c>
      <c r="AR78" s="1">
        <f t="shared" si="37"/>
      </c>
    </row>
    <row r="79" spans="1:44" ht="12.75">
      <c r="A79" s="3">
        <f>LOOKUP(A64,Reference!$A$2:$X$2,Reference!A$17:X$17)</f>
        <v>0</v>
      </c>
      <c r="B79" s="3"/>
      <c r="C79" s="4">
        <v>0</v>
      </c>
      <c r="D79">
        <f>LOOKUP(C64,Reference!$A$2:$X$2,Reference!A$17:X$17)</f>
        <v>0</v>
      </c>
      <c r="H79" s="12" t="s">
        <v>116</v>
      </c>
      <c r="I79" s="11">
        <f>IF(A64=1,C73,0)</f>
        <v>1865</v>
      </c>
      <c r="J79" s="9"/>
      <c r="K79" s="15" t="s">
        <v>91</v>
      </c>
      <c r="L79">
        <f>IF(A64=2,C80,0)</f>
        <v>0</v>
      </c>
      <c r="N79" s="12" t="s">
        <v>116</v>
      </c>
      <c r="O79" s="11">
        <f>IF(A64=3,C73,0)</f>
        <v>0</v>
      </c>
      <c r="P79" s="9"/>
      <c r="Q79" s="12" t="s">
        <v>82</v>
      </c>
      <c r="R79" s="11">
        <f>IF(A64=4,C79,0)</f>
        <v>0</v>
      </c>
      <c r="S79" s="9"/>
      <c r="T79">
        <f t="shared" si="38"/>
        <v>5.000029999999999</v>
      </c>
      <c r="U79">
        <f t="shared" si="39"/>
        <v>5</v>
      </c>
      <c r="V79" s="22">
        <f>LOOKUP(A64,Reference!$A$2:$X$2,Reference!$A$39:$X$39)</f>
        <v>0</v>
      </c>
      <c r="W79" s="22">
        <f>IF(AND(C74&gt;0,A64=2),1,0)</f>
        <v>0</v>
      </c>
      <c r="X79" s="22">
        <f>LOOKUP(B64,Reference!$A$2:$X$2,Reference!$A$39:$X$39)</f>
        <v>0</v>
      </c>
      <c r="Y79" s="22">
        <f>LOOKUP(C64,Reference!$A$2:$X$2,Reference!$A$39:$X$39)</f>
        <v>0</v>
      </c>
      <c r="Z79" s="22"/>
      <c r="AA79" s="22">
        <f>LOOKUP(D64,Reference!$A$2:$X$2,Reference!$A$39:$X$39)</f>
        <v>0</v>
      </c>
      <c r="AB79" s="22"/>
      <c r="AC79" s="22"/>
      <c r="AD79" s="22"/>
      <c r="AE79" s="1">
        <f t="shared" si="27"/>
      </c>
      <c r="AF79" s="1">
        <f t="shared" si="28"/>
      </c>
      <c r="AG79" s="1">
        <f t="shared" si="29"/>
      </c>
      <c r="AH79" s="1">
        <f t="shared" si="30"/>
      </c>
      <c r="AI79" s="1">
        <f t="shared" si="31"/>
      </c>
      <c r="AJ79" s="1">
        <f t="shared" si="32"/>
      </c>
      <c r="AK79" s="1">
        <f t="shared" si="33"/>
      </c>
      <c r="AL79" s="1">
        <f t="shared" si="34"/>
      </c>
      <c r="AM79" s="1">
        <f t="shared" si="35"/>
      </c>
      <c r="AN79" s="1"/>
      <c r="AO79" s="27">
        <f>LOOKUP(F64,Reference!A$2:X$2,Reference!$A$39:$X$39)</f>
        <v>0</v>
      </c>
      <c r="AP79" s="30"/>
      <c r="AQ79" s="27">
        <f t="shared" si="36"/>
        <v>0</v>
      </c>
      <c r="AR79" s="1">
        <f t="shared" si="37"/>
      </c>
    </row>
    <row r="80" spans="1:44" ht="12.75">
      <c r="A80" s="3">
        <f>LOOKUP(A64,Reference!$A$2:$X$2,Reference!A$18:O$18)</f>
        <v>0</v>
      </c>
      <c r="B80" s="3"/>
      <c r="C80" s="5">
        <v>0</v>
      </c>
      <c r="D80">
        <f>LOOKUP(C64,Reference!$A$2:$X$2,Reference!A$18:X$18)</f>
        <v>0</v>
      </c>
      <c r="H80" s="12" t="s">
        <v>117</v>
      </c>
      <c r="I80" s="11">
        <f>IF(A64=1,C72,0)</f>
        <v>19</v>
      </c>
      <c r="J80" s="9"/>
      <c r="K80" s="16" t="s">
        <v>88</v>
      </c>
      <c r="L80">
        <v>0.05</v>
      </c>
      <c r="M80">
        <f>MROUND(L80*L74/9,5)</f>
        <v>0</v>
      </c>
      <c r="N80" s="12" t="s">
        <v>117</v>
      </c>
      <c r="O80" s="11">
        <f>IF(A64=3,C72,0)</f>
        <v>0</v>
      </c>
      <c r="P80" s="9"/>
      <c r="Q80" s="12" t="s">
        <v>59</v>
      </c>
      <c r="R80" s="11">
        <f>IF(A64=4,C80,0)</f>
        <v>0</v>
      </c>
      <c r="S80" s="9">
        <f>MROUND(R80*R73/9+2.4,5)</f>
        <v>0</v>
      </c>
      <c r="T80">
        <f t="shared" si="38"/>
        <v>5.0000399999999985</v>
      </c>
      <c r="U80">
        <f t="shared" si="39"/>
        <v>5</v>
      </c>
      <c r="V80" s="22">
        <f>LOOKUP(A64,Reference!$A$2:$X$2,Reference!$A$40:$X$40)</f>
        <v>0</v>
      </c>
      <c r="W80" s="22">
        <f>IF(AND(C74&gt;0,A64=2),1,0)</f>
        <v>0</v>
      </c>
      <c r="X80" s="22">
        <f>LOOKUP(B64,Reference!$A$2:$X$2,Reference!$A$40:$X$40)</f>
        <v>0</v>
      </c>
      <c r="Y80" s="22">
        <f>LOOKUP(C64,Reference!$A$2:$X$2,Reference!$A$40:$X$40)</f>
        <v>0</v>
      </c>
      <c r="Z80" s="22"/>
      <c r="AA80" s="22">
        <f>LOOKUP(D64,Reference!$A$2:$X$2,Reference!$A$40:$X$40)</f>
        <v>0</v>
      </c>
      <c r="AB80" s="22"/>
      <c r="AC80" s="22"/>
      <c r="AD80" s="22"/>
      <c r="AE80" s="1">
        <f t="shared" si="27"/>
      </c>
      <c r="AF80" s="1">
        <f t="shared" si="28"/>
      </c>
      <c r="AG80" s="1">
        <f t="shared" si="29"/>
      </c>
      <c r="AH80" s="1">
        <f t="shared" si="30"/>
      </c>
      <c r="AI80" s="1">
        <f t="shared" si="31"/>
      </c>
      <c r="AJ80" s="1">
        <f t="shared" si="32"/>
      </c>
      <c r="AK80" s="1">
        <f t="shared" si="33"/>
      </c>
      <c r="AL80" s="1">
        <f t="shared" si="34"/>
      </c>
      <c r="AM80" s="1">
        <f t="shared" si="35"/>
      </c>
      <c r="AN80" s="1"/>
      <c r="AO80" s="27">
        <f>LOOKUP(F64,Reference!A$2:X$2,Reference!$A$40:$X$40)</f>
        <v>0</v>
      </c>
      <c r="AP80" s="30"/>
      <c r="AQ80" s="27">
        <f t="shared" si="36"/>
        <v>0</v>
      </c>
      <c r="AR80" s="1">
        <f t="shared" si="37"/>
      </c>
    </row>
    <row r="81" spans="1:44" ht="12.75">
      <c r="A81" s="3">
        <f>LOOKUP(A64,Reference!$A$2:$X$2,Reference!A$19:O$19)</f>
        <v>0</v>
      </c>
      <c r="B81" s="3"/>
      <c r="C81" s="4"/>
      <c r="D81">
        <f>LOOKUP(C64,Reference!$A$2:$X$2,Reference!A$19:X$19)</f>
        <v>0</v>
      </c>
      <c r="H81" s="7"/>
      <c r="I81" s="11"/>
      <c r="J81" s="9"/>
      <c r="K81" s="16" t="s">
        <v>89</v>
      </c>
      <c r="L81">
        <f>IF(C75&gt;0.1,0.05,0)</f>
        <v>0.05</v>
      </c>
      <c r="M81">
        <f>IF(NOT(C82=424),MROUND(L81*L74/9,5),0)</f>
        <v>0</v>
      </c>
      <c r="N81" s="7"/>
      <c r="O81" s="11"/>
      <c r="P81" s="9"/>
      <c r="R81" s="11"/>
      <c r="S81" s="9"/>
      <c r="T81">
        <f t="shared" si="38"/>
        <v>5.000049999999998</v>
      </c>
      <c r="U81">
        <f t="shared" si="39"/>
        <v>5</v>
      </c>
      <c r="V81" s="22">
        <f>LOOKUP(A64,Reference!$A$2:$X$2,Reference!$A$41:$X$41)</f>
        <v>0</v>
      </c>
      <c r="W81" s="22"/>
      <c r="X81" s="22">
        <f>LOOKUP(B64,Reference!$A$2:$X$2,Reference!$A$41:$X$41)</f>
        <v>0</v>
      </c>
      <c r="Y81" s="22">
        <f>LOOKUP(C64,Reference!$A$2:$X$2,Reference!$A$41:$X$41)</f>
        <v>0</v>
      </c>
      <c r="Z81" s="22"/>
      <c r="AA81" s="22">
        <f>LOOKUP(D64,Reference!$A$2:$X$2,Reference!$A$41:$X$41)</f>
        <v>0</v>
      </c>
      <c r="AB81" s="22"/>
      <c r="AC81" s="22"/>
      <c r="AD81" s="22"/>
      <c r="AE81" s="1">
        <f t="shared" si="27"/>
      </c>
      <c r="AF81" s="1">
        <f t="shared" si="28"/>
      </c>
      <c r="AG81" s="1">
        <f t="shared" si="29"/>
      </c>
      <c r="AH81" s="1">
        <f t="shared" si="30"/>
      </c>
      <c r="AI81" s="1">
        <f t="shared" si="31"/>
      </c>
      <c r="AJ81" s="1">
        <f t="shared" si="32"/>
      </c>
      <c r="AK81" s="1">
        <f t="shared" si="33"/>
      </c>
      <c r="AL81" s="1">
        <f t="shared" si="34"/>
      </c>
      <c r="AM81" s="1">
        <f t="shared" si="35"/>
      </c>
      <c r="AN81" s="1"/>
      <c r="AO81" s="27">
        <f>LOOKUP(F64,Reference!A$2:X$2,Reference!$A$41:$X$41)</f>
        <v>0</v>
      </c>
      <c r="AP81" s="30"/>
      <c r="AQ81" s="27">
        <f t="shared" si="36"/>
        <v>0</v>
      </c>
      <c r="AR81" s="1">
        <f t="shared" si="37"/>
      </c>
    </row>
    <row r="82" spans="1:44" ht="12.75">
      <c r="A82" s="3">
        <f>LOOKUP(A64,Reference!$A$2:$X$2,Reference!A$20:X$20)</f>
        <v>0</v>
      </c>
      <c r="B82" s="3"/>
      <c r="C82" s="5"/>
      <c r="D82">
        <f>LOOKUP(C64,Reference!$A$2:$X$2,Reference!A$20:X$20)</f>
        <v>0</v>
      </c>
      <c r="H82" s="7"/>
      <c r="I82" s="11"/>
      <c r="J82" s="9"/>
      <c r="K82" s="16" t="s">
        <v>132</v>
      </c>
      <c r="L82">
        <f>IF(C75&gt;0.1,0.08,0)</f>
        <v>0.08</v>
      </c>
      <c r="M82">
        <f>IF(C82=424,MROUND(L82*L74/9,5),0)</f>
        <v>0</v>
      </c>
      <c r="N82" s="12"/>
      <c r="O82" s="11"/>
      <c r="P82" s="19"/>
      <c r="Q82" s="12" t="s">
        <v>116</v>
      </c>
      <c r="R82" s="11">
        <f>IF(A64=4,C73,0)</f>
        <v>0</v>
      </c>
      <c r="S82" s="9"/>
      <c r="T82">
        <f t="shared" si="38"/>
        <v>5.000059999999998</v>
      </c>
      <c r="U82">
        <f t="shared" si="39"/>
        <v>5</v>
      </c>
      <c r="V82" s="22">
        <f>LOOKUP(A64,Reference!$A$2:$X$2,Reference!$A$42:$X$42)</f>
        <v>0</v>
      </c>
      <c r="W82" s="22"/>
      <c r="X82" s="22">
        <f>LOOKUP(B64,Reference!$A$2:$X$2,Reference!$A$42:$X$42)</f>
        <v>0</v>
      </c>
      <c r="Y82" s="22">
        <f>LOOKUP(C64,Reference!$A$2:$X$2,Reference!$A$42:$X$42)</f>
        <v>0</v>
      </c>
      <c r="Z82" s="22"/>
      <c r="AA82" s="22">
        <f>LOOKUP(D64,Reference!$A$2:$X$2,Reference!$A$42:$X$42)</f>
        <v>0</v>
      </c>
      <c r="AB82" s="22"/>
      <c r="AC82" s="22"/>
      <c r="AD82" s="22"/>
      <c r="AE82" s="1">
        <f t="shared" si="27"/>
      </c>
      <c r="AF82" s="1">
        <f t="shared" si="28"/>
      </c>
      <c r="AG82" s="1">
        <f t="shared" si="29"/>
      </c>
      <c r="AH82" s="1">
        <f t="shared" si="30"/>
      </c>
      <c r="AI82" s="1">
        <f t="shared" si="31"/>
      </c>
      <c r="AJ82" s="1">
        <f t="shared" si="32"/>
      </c>
      <c r="AK82" s="1">
        <f t="shared" si="33"/>
      </c>
      <c r="AL82" s="1">
        <f t="shared" si="34"/>
      </c>
      <c r="AM82" s="1">
        <f t="shared" si="35"/>
      </c>
      <c r="AN82" s="1"/>
      <c r="AO82" s="27">
        <f>LOOKUP(F64,Reference!A$2:X$2,Reference!$A$42:$X$42)</f>
        <v>0</v>
      </c>
      <c r="AP82" s="30"/>
      <c r="AQ82" s="27">
        <f t="shared" si="36"/>
        <v>0</v>
      </c>
      <c r="AR82" s="1">
        <f t="shared" si="37"/>
      </c>
    </row>
    <row r="83" spans="1:44" ht="12.75">
      <c r="A83" s="3">
        <f>LOOKUP(A64,Reference!$A$2:$X$2,Reference!A$21:X$21)</f>
        <v>0</v>
      </c>
      <c r="B83" s="3"/>
      <c r="C83" s="5"/>
      <c r="D83">
        <f>LOOKUP(C64,Reference!$A$2:$X$2,Reference!A$21:X$21)</f>
        <v>0</v>
      </c>
      <c r="H83" s="7"/>
      <c r="I83" s="11"/>
      <c r="J83" s="9"/>
      <c r="K83" s="16" t="s">
        <v>101</v>
      </c>
      <c r="L83">
        <f>MROUND(L77/9,5)</f>
        <v>0</v>
      </c>
      <c r="N83" s="7"/>
      <c r="O83" s="11"/>
      <c r="P83" s="9"/>
      <c r="Q83" s="12" t="s">
        <v>117</v>
      </c>
      <c r="R83" s="11">
        <f>IF(A64=4,C72,0)</f>
        <v>0</v>
      </c>
      <c r="S83" s="9"/>
      <c r="V83" s="3" t="s">
        <v>98</v>
      </c>
      <c r="W83">
        <f>MROUND(SUM(R73,O73,L74,I73)/9,5)</f>
        <v>3975</v>
      </c>
      <c r="AO83" s="26"/>
      <c r="AP83" s="26"/>
      <c r="AQ83" s="26"/>
      <c r="AR83" s="1">
        <f>CONCATENATE(AH83,AI83,AJ83,AK83,,AM83,AN83)</f>
      </c>
    </row>
    <row r="84" spans="1:28" ht="12.75">
      <c r="A84" s="3">
        <f>LOOKUP(A64,Reference!$A$2:$X$2,Reference!C$22:X$22)</f>
        <v>0</v>
      </c>
      <c r="B84" s="3"/>
      <c r="C84" s="5"/>
      <c r="D84">
        <f>LOOKUP(C64,Reference!$A$2:$X$2,Reference!C$22:X$22)</f>
        <v>0</v>
      </c>
      <c r="H84" s="7"/>
      <c r="I84" s="11"/>
      <c r="J84" s="9"/>
      <c r="K84" s="12" t="s">
        <v>116</v>
      </c>
      <c r="L84">
        <f>IF(A64=2,C74,0)</f>
        <v>0</v>
      </c>
      <c r="N84" s="7"/>
      <c r="O84" s="11"/>
      <c r="P84" s="9"/>
      <c r="R84" s="11"/>
      <c r="S84" s="9"/>
      <c r="V84" s="3" t="s">
        <v>118</v>
      </c>
      <c r="W84">
        <f>R82+O79+L84+I79</f>
        <v>1865</v>
      </c>
      <c r="X84" s="3" t="s">
        <v>121</v>
      </c>
      <c r="Y84">
        <f>MROUND(W84/5280,0.01)</f>
        <v>0.35000000000000003</v>
      </c>
      <c r="Z84" s="3" t="s">
        <v>120</v>
      </c>
      <c r="AB84" t="str">
        <f>CONCATENATE(V84,W84,X84,Y84,Z84)</f>
        <v>Length:  1865 Feet or 0.35 Mile(s)</v>
      </c>
    </row>
    <row r="85" spans="1:28" ht="12.75">
      <c r="A85" s="3">
        <f>LOOKUP(A64,Reference!$A$2:$X$2,Reference!A$23:X$23)</f>
        <v>0</v>
      </c>
      <c r="B85" s="3"/>
      <c r="C85" s="5"/>
      <c r="D85">
        <f>LOOKUP(C64,Reference!$A$2:$X$2,Reference!A$23:X$23)</f>
        <v>0</v>
      </c>
      <c r="H85" s="7"/>
      <c r="I85" s="11"/>
      <c r="J85" s="9"/>
      <c r="K85" s="12" t="s">
        <v>117</v>
      </c>
      <c r="L85">
        <f>IF(A64=2,C73,0)</f>
        <v>0</v>
      </c>
      <c r="N85" s="7"/>
      <c r="O85" s="11"/>
      <c r="P85" s="9"/>
      <c r="R85" s="11"/>
      <c r="S85" s="19"/>
      <c r="V85" s="3" t="s">
        <v>119</v>
      </c>
      <c r="W85">
        <f>R83+O80+L85+I80</f>
        <v>19</v>
      </c>
      <c r="X85" s="3" t="s">
        <v>122</v>
      </c>
      <c r="Y85" s="3" t="s">
        <v>123</v>
      </c>
      <c r="Z85" s="25">
        <f>W83</f>
        <v>3975</v>
      </c>
      <c r="AA85" s="3" t="s">
        <v>124</v>
      </c>
      <c r="AB85" t="str">
        <f>CONCATENATE(V85,W85,X85,Y85,Z85,AA85)</f>
        <v>Width:  19 Feet     (Approx. 3975 S.Y. including radius and driveway work)</v>
      </c>
    </row>
    <row r="86" spans="1:28" ht="12.75">
      <c r="A86" s="3">
        <f>LOOKUP(A64,Reference!$A$2:$X$2,Reference!A$24:X$24)</f>
        <v>0</v>
      </c>
      <c r="B86" s="3"/>
      <c r="C86" s="5"/>
      <c r="D86">
        <f>LOOKUP(C64,Reference!$A$2:$X$2,Reference!A$24:X$24)</f>
        <v>0</v>
      </c>
      <c r="H86" s="7">
        <f>IF(AND(A64=1,C76=424),"Type: ODOT Spec 424 Smooth Seal ","")</f>
      </c>
      <c r="I86" s="11" t="str">
        <f>IF(AND(A64=1,NOT(C76=424)),"Type: ODOT Spec 823 ","")</f>
        <v>Type: ODOT Spec 823 </v>
      </c>
      <c r="J86" s="9"/>
      <c r="K86" s="18">
        <f>IF(A64=2,"Type: ODOT Spec 448, with Spec 301 Widening ","")</f>
      </c>
      <c r="N86" s="7">
        <f>IF(A64=3,"Type: Chip Seal, 1997 ODOT Spec 409 ","")</f>
      </c>
      <c r="O86" s="11">
        <f>IF(O77&gt;0,"W/ Fog Seal","")</f>
      </c>
      <c r="P86" s="9"/>
      <c r="Q86">
        <f>IF(A64=4,"Type: Double Chip Seal, 1997 ODOT Spec 409 ","")</f>
      </c>
      <c r="R86" s="11">
        <f>IF(R80&gt;0,"W/ Fog Seal","")</f>
      </c>
      <c r="S86" s="9"/>
      <c r="V86" s="3">
        <f>IF(C69&gt;0,"W/ 617 Berm @ ","")</f>
      </c>
      <c r="W86" s="29">
        <f>IF(C69&gt;0,C69/12,"")</f>
      </c>
      <c r="X86" s="3">
        <f>IF(C69&gt;0," Feet Wide Each Side","")</f>
      </c>
      <c r="AB86" t="str">
        <f>CONCATENATE(H86,I86,J86,K86,L86,M86,N86,O86,P86,Q86,R86,S86,T86,U86,V86,W86,X86)</f>
        <v>Type: ODOT Spec 823 </v>
      </c>
    </row>
    <row r="94" spans="1:19" ht="12.75">
      <c r="A94" s="2" t="s">
        <v>135</v>
      </c>
      <c r="B94" s="3"/>
      <c r="C94" s="3" t="str">
        <f>"1 = Paving    2 = Paving-Widening     3= Chip Seal   4=Double Chip Seal"</f>
        <v>1 = Paving    2 = Paving-Widening     3= Chip Seal   4=Double Chip Seal</v>
      </c>
      <c r="I94">
        <f>I63</f>
        <v>1</v>
      </c>
      <c r="J94">
        <f>J63</f>
        <v>1.5</v>
      </c>
      <c r="L94">
        <f>L63</f>
        <v>2</v>
      </c>
      <c r="M94">
        <f>M63</f>
        <v>2.5</v>
      </c>
      <c r="O94">
        <f>O63</f>
        <v>3</v>
      </c>
      <c r="P94">
        <f>P63</f>
        <v>3.5</v>
      </c>
      <c r="R94">
        <f>R63</f>
        <v>4</v>
      </c>
      <c r="S94">
        <f>S63</f>
        <v>4.5</v>
      </c>
    </row>
    <row r="95" spans="1:19" ht="12.75">
      <c r="A95" s="6">
        <v>1</v>
      </c>
      <c r="B95" s="20">
        <f>A95+0.2</f>
        <v>1.2</v>
      </c>
      <c r="C95">
        <f>A95+0.5</f>
        <v>1.5</v>
      </c>
      <c r="D95">
        <f>A95+0.7</f>
        <v>1.7</v>
      </c>
      <c r="E95">
        <f>A95+0.8</f>
        <v>1.8</v>
      </c>
      <c r="F95">
        <f>A95+0.9</f>
        <v>1.9</v>
      </c>
      <c r="H95" s="7"/>
      <c r="I95" s="8" t="s">
        <v>37</v>
      </c>
      <c r="J95" s="9"/>
      <c r="K95" s="11"/>
      <c r="L95" t="s">
        <v>38</v>
      </c>
      <c r="N95" s="7"/>
      <c r="O95" s="8" t="s">
        <v>31</v>
      </c>
      <c r="P95" s="9"/>
      <c r="Q95" s="7"/>
      <c r="R95" s="8" t="s">
        <v>39</v>
      </c>
      <c r="S95" s="9"/>
    </row>
    <row r="96" spans="1:43" ht="12.75">
      <c r="A96" s="2" t="str">
        <f>LOOKUP(A95,Reference!$A$2:$S$2,Reference!A$3:S$3)</f>
        <v>Paving</v>
      </c>
      <c r="B96" s="2"/>
      <c r="H96" s="7"/>
      <c r="I96" s="10" t="s">
        <v>28</v>
      </c>
      <c r="J96" s="9"/>
      <c r="K96" s="11"/>
      <c r="L96" s="10" t="s">
        <v>28</v>
      </c>
      <c r="M96" s="11"/>
      <c r="N96" s="7"/>
      <c r="O96" s="10" t="s">
        <v>28</v>
      </c>
      <c r="P96" s="9"/>
      <c r="Q96" s="7"/>
      <c r="R96" s="10" t="s">
        <v>28</v>
      </c>
      <c r="S96" s="9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4" ht="12.75">
      <c r="A97" s="3" t="str">
        <f>LOOKUP(A95,Reference!$A$2:$X$2,Reference!A$4:X$4)</f>
        <v>Name</v>
      </c>
      <c r="B97" s="3"/>
      <c r="C97" s="4" t="s">
        <v>168</v>
      </c>
      <c r="D97" t="str">
        <f>"1st Length"</f>
        <v>1st Length</v>
      </c>
      <c r="E97" t="str">
        <f>"2nd Length"</f>
        <v>2nd Length</v>
      </c>
      <c r="F97" t="str">
        <f>"3rd Length"</f>
        <v>3rd Length</v>
      </c>
      <c r="G97" t="str">
        <f>"4th Length"</f>
        <v>4th Length</v>
      </c>
      <c r="H97" s="7"/>
      <c r="I97" s="11" t="s">
        <v>26</v>
      </c>
      <c r="J97" s="9" t="s">
        <v>50</v>
      </c>
      <c r="K97" s="11"/>
      <c r="L97" s="11" t="s">
        <v>26</v>
      </c>
      <c r="M97" s="8" t="s">
        <v>68</v>
      </c>
      <c r="N97" s="7"/>
      <c r="O97" s="11" t="s">
        <v>26</v>
      </c>
      <c r="P97" s="19" t="s">
        <v>67</v>
      </c>
      <c r="Q97" s="7"/>
      <c r="R97" s="11" t="s">
        <v>26</v>
      </c>
      <c r="S97" s="19" t="s">
        <v>67</v>
      </c>
      <c r="V97" s="23" t="s">
        <v>2</v>
      </c>
      <c r="W97" s="24" t="s">
        <v>86</v>
      </c>
      <c r="X97" s="24" t="s">
        <v>3</v>
      </c>
      <c r="Y97" s="24" t="s">
        <v>4</v>
      </c>
      <c r="Z97" s="21"/>
      <c r="AA97" s="22"/>
      <c r="AB97" s="22"/>
      <c r="AC97" s="22"/>
      <c r="AD97" s="2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7" t="s">
        <v>126</v>
      </c>
      <c r="AP97" s="27" t="s">
        <v>127</v>
      </c>
      <c r="AQ97" s="27" t="s">
        <v>128</v>
      </c>
      <c r="AR97" s="27" t="s">
        <v>4</v>
      </c>
    </row>
    <row r="98" spans="1:44" ht="12.75">
      <c r="A98" s="3" t="str">
        <f>LOOKUP(A95,Reference!$A$2:$X$2,Reference!A$5:X$5)</f>
        <v>Radii</v>
      </c>
      <c r="B98" s="3"/>
      <c r="C98" s="5">
        <v>2</v>
      </c>
      <c r="D98" t="str">
        <f>LOOKUP(C95,Reference!$A$2:$X$2,Reference!A$5:X$5)</f>
        <v>@ 10 SY Each</v>
      </c>
      <c r="H98" s="12" t="s">
        <v>47</v>
      </c>
      <c r="I98" s="11">
        <f>IF(A95=1,10*C98*9,0)</f>
        <v>180</v>
      </c>
      <c r="J98" s="9"/>
      <c r="K98" s="12" t="s">
        <v>47</v>
      </c>
      <c r="L98">
        <f>IF(A95=2,10*C98*9,0)</f>
        <v>0</v>
      </c>
      <c r="N98" s="12" t="s">
        <v>47</v>
      </c>
      <c r="O98" s="11">
        <f>IF(A95=3,10*C98*9,0)</f>
        <v>0</v>
      </c>
      <c r="P98" s="9"/>
      <c r="Q98" s="12" t="s">
        <v>47</v>
      </c>
      <c r="R98" s="11">
        <f>IF(A95=4,10*C98*9,0)</f>
        <v>0</v>
      </c>
      <c r="S98" s="9"/>
      <c r="T98">
        <f>IF(W98&gt;0,1,0)</f>
        <v>1</v>
      </c>
      <c r="U98">
        <f>T98</f>
        <v>1</v>
      </c>
      <c r="V98" s="22">
        <f>LOOKUP(A95,Reference!$A$2:$X$2,Reference!$A$27:$X$27)</f>
        <v>407</v>
      </c>
      <c r="W98" s="22">
        <f>IF(A95=1,J107+J108,0)+IF(A95=2,L110,0)+IF(A95=3,P106,0)+IF(A95=4,S106,0)</f>
        <v>185</v>
      </c>
      <c r="X98" s="22" t="str">
        <f>LOOKUP(B95,Reference!$A$2:$X$2,Reference!$A$27:$X$27)</f>
        <v>Gal</v>
      </c>
      <c r="Y98" s="22" t="str">
        <f>LOOKUP(C95,Reference!$A$2:$X$2,Reference!$A$27:X$27)</f>
        <v>Bituminous Tack Coat applied at 0.05 gallons per square yard</v>
      </c>
      <c r="Z98" s="22">
        <f>IF(A95=3,O106,0)+IF(A95=4,R106,0)</f>
        <v>0</v>
      </c>
      <c r="AA98" s="22">
        <f>LOOKUP(D95,Reference!$A$2:$X$2,Reference!$A$27:$X$27)</f>
        <v>0</v>
      </c>
      <c r="AB98" s="22"/>
      <c r="AC98" s="22"/>
      <c r="AD98" s="22"/>
      <c r="AE98" s="1">
        <f aca="true" t="shared" si="40" ref="AE98:AE113">IF(V98=0,"",V98)</f>
        <v>407</v>
      </c>
      <c r="AF98" s="1">
        <f aca="true" t="shared" si="41" ref="AF98:AF113">IF(W98=0,"",W98)</f>
        <v>185</v>
      </c>
      <c r="AG98" s="1" t="str">
        <f aca="true" t="shared" si="42" ref="AG98:AG113">IF(X98=0,"",X98)</f>
        <v>Gal</v>
      </c>
      <c r="AH98" s="1" t="str">
        <f aca="true" t="shared" si="43" ref="AH98:AH113">IF(Y98=0,"",Y98)</f>
        <v>Bituminous Tack Coat applied at 0.05 gallons per square yard</v>
      </c>
      <c r="AI98" s="1">
        <f aca="true" t="shared" si="44" ref="AI98:AI113">IF(Z98=0,"",Z98)</f>
      </c>
      <c r="AJ98" s="1">
        <f aca="true" t="shared" si="45" ref="AJ98:AJ113">IF(AA98=0,"",AA98)</f>
      </c>
      <c r="AK98" s="1">
        <f aca="true" t="shared" si="46" ref="AK98:AK113">IF(AB98=0,"",AB98)</f>
      </c>
      <c r="AL98" s="1">
        <f aca="true" t="shared" si="47" ref="AL98:AL113">IF(AC98=0,"",AC98)</f>
      </c>
      <c r="AM98" s="1">
        <f aca="true" t="shared" si="48" ref="AM98:AM113">IF(AD98=0,"",AD98)</f>
      </c>
      <c r="AN98" s="1"/>
      <c r="AO98" s="27">
        <f>LOOKUP(F95,Reference!A$2:X$2,Reference!$A$27:$X$27)</f>
        <v>2.1</v>
      </c>
      <c r="AP98" s="30"/>
      <c r="AQ98" s="27">
        <f aca="true" t="shared" si="49" ref="AQ98:AQ113">IF(AP98&gt;0,AP98,AO98)</f>
        <v>2.1</v>
      </c>
      <c r="AR98" s="1" t="str">
        <f aca="true" t="shared" si="50" ref="AR98:AR113">CONCATENATE(AH98,AI98,AJ98,AK98,AL98,AM98,AN98)</f>
        <v>Bituminous Tack Coat applied at 0.05 gallons per square yard</v>
      </c>
    </row>
    <row r="99" spans="1:44" ht="12.75">
      <c r="A99" s="3" t="str">
        <f>LOOKUP(A95,Reference!$A$2:$X$2,Reference!A$6:X$6)</f>
        <v>Drives</v>
      </c>
      <c r="B99" s="3"/>
      <c r="C99" s="5">
        <v>5</v>
      </c>
      <c r="D99" t="str">
        <f>LOOKUP(C95,Reference!$A$2:$X$2,Reference!A$6:X$6)</f>
        <v>@ 4 SY Each</v>
      </c>
      <c r="H99" s="12" t="s">
        <v>17</v>
      </c>
      <c r="I99" s="11">
        <f>IF(A95=1,4*C99*9,0)</f>
        <v>180</v>
      </c>
      <c r="J99" s="9"/>
      <c r="K99" s="12" t="s">
        <v>17</v>
      </c>
      <c r="L99">
        <f>IF(A95=2,4*C99*9,0)</f>
        <v>0</v>
      </c>
      <c r="N99" s="12" t="s">
        <v>17</v>
      </c>
      <c r="O99" s="11">
        <f>IF(A95=3,4*C99*9,0)</f>
        <v>0</v>
      </c>
      <c r="P99" s="9"/>
      <c r="Q99" s="12" t="s">
        <v>17</v>
      </c>
      <c r="R99" s="11">
        <f>IF(A95=4,4*C99*9,0)</f>
        <v>0</v>
      </c>
      <c r="S99" s="9"/>
      <c r="T99">
        <f aca="true" t="shared" si="51" ref="T99:T113">IF(W99&gt;0,U98+1,T98+0.00001)</f>
        <v>1.00001</v>
      </c>
      <c r="U99">
        <f aca="true" t="shared" si="52" ref="U99:U113">IF(T99&gt;U98+0.5,U98+1,U98)</f>
        <v>1</v>
      </c>
      <c r="V99" s="22">
        <f>LOOKUP(A95,Reference!$A$2:$X$2,Reference!$A$28:$X$28)</f>
        <v>823</v>
      </c>
      <c r="W99" s="22">
        <f>IF(A95=1,J105,0)+IF(A95=2,M108,0)+IF(A95=3,P105,0)+IF(A95=4,S108,0)</f>
        <v>0</v>
      </c>
      <c r="X99" s="22" t="str">
        <f>LOOKUP(B95,Reference!$A$2:$X$2,Reference!$A$28:$X$28)</f>
        <v>C.Y.</v>
      </c>
      <c r="Y99" s="22" t="str">
        <f>LOOKUP(C95,Reference!$A$2:$X$2,Reference!$A$28:$X$28)</f>
        <v>Asphalt intermediate course PG 64-22, Type 1 (823) applied, spread and compacted at the average depth of </v>
      </c>
      <c r="Z99" s="22">
        <f>IF(A95=1,C105,0)+IF(A95=2,C108,0)+IF(A95=3,O107,0)+IF(A95=4,R107,0)</f>
        <v>0</v>
      </c>
      <c r="AA99" s="22" t="str">
        <f>LOOKUP(D95,Reference!$A$2:$X$2,Reference!$A$28:$X$28)</f>
        <v> inches</v>
      </c>
      <c r="AB99" s="22">
        <f>IF(A95=3,O105,0)+IF(A95=4,R105,0)</f>
        <v>0</v>
      </c>
      <c r="AC99" s="22">
        <f>IF(A95=2,C112,0)</f>
        <v>0</v>
      </c>
      <c r="AD99" s="22">
        <f>LOOKUP(E95,Reference!$A$2:$X$2,Reference!$A$28:$X$28)</f>
        <v>0</v>
      </c>
      <c r="AE99" s="1">
        <f t="shared" si="40"/>
        <v>823</v>
      </c>
      <c r="AF99" s="1">
        <f t="shared" si="41"/>
      </c>
      <c r="AG99" s="1" t="str">
        <f t="shared" si="42"/>
        <v>C.Y.</v>
      </c>
      <c r="AH99" s="1" t="str">
        <f t="shared" si="43"/>
        <v>Asphalt intermediate course PG 64-22, Type 1 (823) applied, spread and compacted at the average depth of </v>
      </c>
      <c r="AI99" s="1">
        <f t="shared" si="44"/>
      </c>
      <c r="AJ99" s="1" t="str">
        <f t="shared" si="45"/>
        <v> inches</v>
      </c>
      <c r="AK99" s="1">
        <f t="shared" si="46"/>
      </c>
      <c r="AL99" s="1">
        <f t="shared" si="47"/>
      </c>
      <c r="AM99" s="1">
        <f t="shared" si="48"/>
      </c>
      <c r="AN99" s="1"/>
      <c r="AO99" s="27">
        <f>LOOKUP(F95,Reference!A$2:X$2,Reference!$A$28:$X$28)</f>
        <v>150</v>
      </c>
      <c r="AP99" s="30"/>
      <c r="AQ99" s="27">
        <f t="shared" si="49"/>
        <v>150</v>
      </c>
      <c r="AR99" s="1" t="str">
        <f t="shared" si="50"/>
        <v>Asphalt intermediate course PG 64-22, Type 1 (823) applied, spread and compacted at the average depth of  inches</v>
      </c>
    </row>
    <row r="100" spans="1:44" ht="12.75">
      <c r="A100" s="3" t="str">
        <f>LOOKUP(A95,Reference!$A$2:$X$2,Reference!A$7:X$7)</f>
        <v>Berm (Per Side)</v>
      </c>
      <c r="B100" s="3"/>
      <c r="C100" s="5"/>
      <c r="D100" t="str">
        <f>LOOKUP(C95,Reference!$A$2:$X$2,Reference!A$7:X$7)</f>
        <v>inches</v>
      </c>
      <c r="H100" s="12" t="s">
        <v>18</v>
      </c>
      <c r="I100" s="11">
        <f>IF(A95=1,C100*2*C104/12,0)</f>
        <v>0</v>
      </c>
      <c r="J100" s="9">
        <f>MROUND(I100*C101/12*1/27+0.4,1)</f>
        <v>0</v>
      </c>
      <c r="K100" s="12" t="s">
        <v>18</v>
      </c>
      <c r="L100">
        <f>IF(A95=2,C100*2*C105/12,0)</f>
        <v>0</v>
      </c>
      <c r="M100">
        <f>MROUND(L100*C101/12*1/27+0.4,1)</f>
        <v>0</v>
      </c>
      <c r="N100" s="12" t="s">
        <v>18</v>
      </c>
      <c r="O100" s="11">
        <f>IF(A95=3,C100*2*C104/12,0)</f>
        <v>0</v>
      </c>
      <c r="P100" s="9">
        <f>MROUND(O100*C101/12*1/27+0.4,1)</f>
        <v>0</v>
      </c>
      <c r="Q100" s="12" t="s">
        <v>18</v>
      </c>
      <c r="R100" s="11">
        <f>IF(A95=4,C100*2*C104/12,0)</f>
        <v>0</v>
      </c>
      <c r="S100" s="9">
        <f>MROUND(R100*C101/12*1/27+0.4,1)</f>
        <v>0</v>
      </c>
      <c r="T100">
        <f t="shared" si="51"/>
        <v>2</v>
      </c>
      <c r="U100">
        <f t="shared" si="52"/>
        <v>2</v>
      </c>
      <c r="V100" s="22">
        <f>LOOKUP(A95,Reference!$A$2:$X$2,Reference!$A$29:$X$29)</f>
        <v>823</v>
      </c>
      <c r="W100" s="22">
        <f>IF(AND(A95=1,NOT(C107=424)),J106,0)+IF(A95=2,L114,0)+IF(A95=3,P108,0)+IF(A95=4,S109,0)</f>
        <v>156</v>
      </c>
      <c r="X100" s="22" t="str">
        <f>LOOKUP(B95,Reference!$A$2:$X$2,Reference!$A$29:$X$29)</f>
        <v>C.Y.</v>
      </c>
      <c r="Y100" s="22" t="str">
        <f>LOOKUP(C95,Reference!$A$2:$X$2,Reference!$A$29:$X$29)</f>
        <v>Asphalt concrete surface course PG 64-22, Type 1 (823) applied, spread and compacted at the average depth of </v>
      </c>
      <c r="Z100" s="22">
        <f>IF(AND(A95=1,NOT(C107=424)),C106,0)+IF(A95=4,R109,0)</f>
        <v>1.5</v>
      </c>
      <c r="AA100" s="22" t="str">
        <f>LOOKUP(D95,Reference!$A$2:$X$2,Reference!$A$29:$X$29)</f>
        <v> inches</v>
      </c>
      <c r="AB100" s="22"/>
      <c r="AC100" s="22"/>
      <c r="AD100" s="22"/>
      <c r="AE100" s="1">
        <f t="shared" si="40"/>
        <v>823</v>
      </c>
      <c r="AF100" s="1">
        <f t="shared" si="41"/>
        <v>156</v>
      </c>
      <c r="AG100" s="1" t="str">
        <f t="shared" si="42"/>
        <v>C.Y.</v>
      </c>
      <c r="AH100" s="1" t="str">
        <f t="shared" si="43"/>
        <v>Asphalt concrete surface course PG 64-22, Type 1 (823) applied, spread and compacted at the average depth of </v>
      </c>
      <c r="AI100" s="1">
        <f t="shared" si="44"/>
        <v>1.5</v>
      </c>
      <c r="AJ100" s="1" t="str">
        <f t="shared" si="45"/>
        <v> inches</v>
      </c>
      <c r="AK100" s="1">
        <f t="shared" si="46"/>
      </c>
      <c r="AL100" s="1">
        <f t="shared" si="47"/>
      </c>
      <c r="AM100" s="1">
        <f t="shared" si="48"/>
      </c>
      <c r="AN100" s="1"/>
      <c r="AO100" s="27">
        <f>LOOKUP(F95,Reference!A$2:X$2,Reference!$A$29:$X$29)</f>
        <v>150</v>
      </c>
      <c r="AP100" s="30">
        <v>185</v>
      </c>
      <c r="AQ100" s="27">
        <f t="shared" si="49"/>
        <v>185</v>
      </c>
      <c r="AR100" s="1" t="str">
        <f t="shared" si="50"/>
        <v>Asphalt concrete surface course PG 64-22, Type 1 (823) applied, spread and compacted at the average depth of 1.5 inches</v>
      </c>
    </row>
    <row r="101" spans="1:44" ht="12.75">
      <c r="A101" s="3" t="str">
        <f>LOOKUP(A95,Reference!$A$2:$X$2,Reference!A$8:X$8)</f>
        <v>Berm Depth</v>
      </c>
      <c r="B101" s="3"/>
      <c r="C101" s="5"/>
      <c r="D101" t="str">
        <f>LOOKUP(C95,Reference!$A$2:$X$2,Reference!A$8:X$8)</f>
        <v>inches</v>
      </c>
      <c r="H101" s="12"/>
      <c r="I101" s="11"/>
      <c r="J101" s="9"/>
      <c r="K101" s="11"/>
      <c r="N101" s="7"/>
      <c r="O101" s="11"/>
      <c r="P101" s="9"/>
      <c r="R101" s="11"/>
      <c r="S101" s="9"/>
      <c r="T101">
        <f t="shared" si="51"/>
        <v>2.00001</v>
      </c>
      <c r="U101">
        <f t="shared" si="52"/>
        <v>2</v>
      </c>
      <c r="V101" s="22">
        <f>LOOKUP(A95,Reference!$A$2:$X$2,Reference!$A$30:$X$30)</f>
        <v>407</v>
      </c>
      <c r="W101" s="22">
        <f>+IF(A95=2,M108,0)+IF(A95=3,P100,0)+IF(A95=4,S108,0)+IF(A95=1,J109,0)</f>
        <v>0</v>
      </c>
      <c r="X101" s="22" t="str">
        <f>LOOKUP(B95,Reference!$A$2:$X$2,Reference!$A$30:$X$30)</f>
        <v>Gal</v>
      </c>
      <c r="Y101" s="22" t="str">
        <f>LOOKUP(C95,Reference!$A$2:$X$2,Reference!$A$30:$X$30)</f>
        <v>Rubberized Latex Tack Coat (0.08 Gal./S.Y.)</v>
      </c>
      <c r="Z101" s="22">
        <f>IF(A95=2,C109,0)+IF(A95=3,C101,0)+IF(A95=4,R110,0)</f>
        <v>0</v>
      </c>
      <c r="AA101" s="22">
        <f>LOOKUP(D95,Reference!$A$2:$X$2,Reference!$A$30:$X$30)</f>
        <v>0</v>
      </c>
      <c r="AB101" s="22">
        <f>IF(A95=4,R108,0)</f>
        <v>0</v>
      </c>
      <c r="AC101" s="22"/>
      <c r="AD101" s="22">
        <f>LOOKUP(E95,Reference!$A$2:$X$2,Reference!$A$30:$X$30)</f>
        <v>0</v>
      </c>
      <c r="AE101" s="1">
        <f t="shared" si="40"/>
        <v>407</v>
      </c>
      <c r="AF101" s="1">
        <f t="shared" si="41"/>
      </c>
      <c r="AG101" s="1" t="str">
        <f t="shared" si="42"/>
        <v>Gal</v>
      </c>
      <c r="AH101" s="1" t="str">
        <f t="shared" si="43"/>
        <v>Rubberized Latex Tack Coat (0.08 Gal./S.Y.)</v>
      </c>
      <c r="AI101" s="1">
        <f t="shared" si="44"/>
      </c>
      <c r="AJ101" s="1">
        <f t="shared" si="45"/>
      </c>
      <c r="AK101" s="1">
        <f t="shared" si="46"/>
      </c>
      <c r="AL101" s="1">
        <f t="shared" si="47"/>
      </c>
      <c r="AM101" s="1">
        <f t="shared" si="48"/>
      </c>
      <c r="AN101" s="1"/>
      <c r="AO101" s="27">
        <f>LOOKUP(F95,Reference!A$2:X$2,Reference!$A$30:$X$30)</f>
        <v>3.5</v>
      </c>
      <c r="AP101" s="30"/>
      <c r="AQ101" s="27">
        <f t="shared" si="49"/>
        <v>3.5</v>
      </c>
      <c r="AR101" s="1" t="str">
        <f t="shared" si="50"/>
        <v>Rubberized Latex Tack Coat (0.08 Gal./S.Y.)</v>
      </c>
    </row>
    <row r="102" spans="1:44" ht="12.75">
      <c r="A102" s="3" t="str">
        <f>LOOKUP(A95,Reference!$A$2:$X$2,Reference!A$9:X$9)</f>
        <v>Pavement Planing</v>
      </c>
      <c r="B102" s="3"/>
      <c r="C102" s="5">
        <v>375</v>
      </c>
      <c r="D102" s="5"/>
      <c r="E102" s="5"/>
      <c r="F102" s="5"/>
      <c r="G102" s="5"/>
      <c r="H102" s="7" t="s">
        <v>52</v>
      </c>
      <c r="I102" s="11">
        <f>IF(A95=1,C102,0)</f>
        <v>375</v>
      </c>
      <c r="J102" s="9">
        <f>IF(A95=1,SUM(D102:G102),0)</f>
        <v>0</v>
      </c>
      <c r="K102" s="7" t="s">
        <v>52</v>
      </c>
      <c r="L102" s="11">
        <f>IF(A95=2,C102,0)</f>
        <v>0</v>
      </c>
      <c r="M102" s="11">
        <f>IF(A95=2,SUM(D102:G102),0)</f>
        <v>0</v>
      </c>
      <c r="N102" s="7"/>
      <c r="O102" s="11"/>
      <c r="P102" s="9"/>
      <c r="R102" s="11"/>
      <c r="S102" s="9"/>
      <c r="T102">
        <f t="shared" si="51"/>
        <v>2.00002</v>
      </c>
      <c r="U102">
        <f t="shared" si="52"/>
        <v>2</v>
      </c>
      <c r="V102" s="22">
        <f>LOOKUP(A95,Reference!$A$2:$X$2,Reference!$A$31:$X$31)</f>
        <v>424</v>
      </c>
      <c r="W102" s="22">
        <f>IF(A95=2,M111+M112,0)+IF(AND(C104&gt;0,A95=3),1,0)+IF(A95=4,S111,0)+IF(AND(A95=1,C107=424),J106,0)</f>
        <v>0</v>
      </c>
      <c r="X102" s="22" t="str">
        <f>LOOKUP(B95,Reference!$A$2:$X$2,Reference!$A$31:$X$31)</f>
        <v>C.Y.</v>
      </c>
      <c r="Y102" s="22" t="str">
        <f>LOOKUP(C95,Reference!$A$2:$X$2,Reference!$A$31:$X$31)</f>
        <v>Type B Smooth Seal Asphalt PG76-22, spread and compacted at the average depth of </v>
      </c>
      <c r="Z102" s="28">
        <f>IF(AND(A95=1,C107=424),C106,0)</f>
        <v>0</v>
      </c>
      <c r="AA102" s="22" t="str">
        <f>LOOKUP(D95,Reference!$A$2:$X$2,Reference!$A$31:$X$31)</f>
        <v> inches</v>
      </c>
      <c r="AB102" s="22"/>
      <c r="AC102" s="22"/>
      <c r="AD102" s="22"/>
      <c r="AE102" s="1">
        <f t="shared" si="40"/>
        <v>424</v>
      </c>
      <c r="AF102" s="1">
        <f t="shared" si="41"/>
      </c>
      <c r="AG102" s="1" t="str">
        <f t="shared" si="42"/>
        <v>C.Y.</v>
      </c>
      <c r="AH102" s="1" t="str">
        <f t="shared" si="43"/>
        <v>Type B Smooth Seal Asphalt PG76-22, spread and compacted at the average depth of </v>
      </c>
      <c r="AI102" s="1">
        <f t="shared" si="44"/>
      </c>
      <c r="AJ102" s="1" t="str">
        <f t="shared" si="45"/>
        <v> inches</v>
      </c>
      <c r="AK102" s="1">
        <f t="shared" si="46"/>
      </c>
      <c r="AL102" s="1">
        <f t="shared" si="47"/>
      </c>
      <c r="AM102" s="1">
        <f t="shared" si="48"/>
      </c>
      <c r="AN102" s="1"/>
      <c r="AO102" s="27">
        <f>LOOKUP(F95,Reference!A$2:X$2,Reference!$A$31:$X$31)</f>
        <v>210</v>
      </c>
      <c r="AP102" s="30"/>
      <c r="AQ102" s="27">
        <f t="shared" si="49"/>
        <v>210</v>
      </c>
      <c r="AR102" s="1" t="str">
        <f t="shared" si="50"/>
        <v>Type B Smooth Seal Asphalt PG76-22, spread and compacted at the average depth of  inches</v>
      </c>
    </row>
    <row r="103" spans="1:44" ht="12.75">
      <c r="A103" s="3" t="str">
        <f>LOOKUP(A95,Reference!$A$2:$X$2,Reference!A$10:X$10)</f>
        <v>Pavement Width</v>
      </c>
      <c r="B103" s="3"/>
      <c r="C103" s="5">
        <v>19.5</v>
      </c>
      <c r="D103" t="str">
        <f>LOOKUP(C95,Reference!$A$2:$X$2,Reference!A$10:X$10)</f>
        <v>feet</v>
      </c>
      <c r="H103" s="12" t="s">
        <v>48</v>
      </c>
      <c r="I103" s="11">
        <f>IF(A95=1,C103*C104,0)</f>
        <v>33247.5</v>
      </c>
      <c r="J103" s="9"/>
      <c r="K103" s="14" t="s">
        <v>53</v>
      </c>
      <c r="L103">
        <f>IF(A95=2,C103,0)</f>
        <v>0</v>
      </c>
      <c r="N103" s="17" t="s">
        <v>48</v>
      </c>
      <c r="O103" s="11">
        <f>IF(A95=3,C103*C104,0)</f>
        <v>0</v>
      </c>
      <c r="P103" s="9"/>
      <c r="Q103" s="17" t="s">
        <v>48</v>
      </c>
      <c r="R103" s="11">
        <f>IF(A95=4,C103*C104,0)</f>
        <v>0</v>
      </c>
      <c r="S103" s="9"/>
      <c r="T103">
        <f t="shared" si="51"/>
        <v>2.00003</v>
      </c>
      <c r="U103">
        <f t="shared" si="52"/>
        <v>2</v>
      </c>
      <c r="V103" s="22">
        <f>LOOKUP(A95,Reference!$A$2:$X$2,Reference!$A$32:$X$32)</f>
        <v>617</v>
      </c>
      <c r="W103" s="22">
        <f>IF(A95=2,M106,0)+IF(AND(C104&gt;0,A95=3),1,0)+IF(A95=4,S100,0)+IF(A95=1,J100,0)</f>
        <v>0</v>
      </c>
      <c r="X103" s="22" t="str">
        <f>LOOKUP(B95,Reference!$A$2:$X$2,Reference!$A$32:$X$32)</f>
        <v>C.Y.</v>
      </c>
      <c r="Y103" s="22" t="str">
        <f>LOOKUP(C95,Reference!$A$2:$X$2,Reference!$A$32:$X$32)</f>
        <v>Stabilized crushed aggregate berm in place and compacted at the average depth of </v>
      </c>
      <c r="Z103" s="22">
        <f>IF(A95=2,C106,0)+IF(A95=4,C101,0)+IF(A95=1,C101,0)</f>
        <v>0</v>
      </c>
      <c r="AA103" s="22" t="str">
        <f>LOOKUP(D95,Reference!$A$2:$X$2,Reference!$A$32:$X$32)</f>
        <v> inches</v>
      </c>
      <c r="AB103" s="22"/>
      <c r="AC103" s="22"/>
      <c r="AD103" s="22"/>
      <c r="AE103" s="1">
        <f t="shared" si="40"/>
        <v>617</v>
      </c>
      <c r="AF103" s="1">
        <f t="shared" si="41"/>
      </c>
      <c r="AG103" s="1" t="str">
        <f t="shared" si="42"/>
        <v>C.Y.</v>
      </c>
      <c r="AH103" s="1" t="str">
        <f t="shared" si="43"/>
        <v>Stabilized crushed aggregate berm in place and compacted at the average depth of </v>
      </c>
      <c r="AI103" s="1">
        <f t="shared" si="44"/>
      </c>
      <c r="AJ103" s="1" t="str">
        <f t="shared" si="45"/>
        <v> inches</v>
      </c>
      <c r="AK103" s="1">
        <f t="shared" si="46"/>
      </c>
      <c r="AL103" s="1">
        <f t="shared" si="47"/>
      </c>
      <c r="AM103" s="1">
        <f t="shared" si="48"/>
      </c>
      <c r="AN103" s="1"/>
      <c r="AO103" s="27">
        <f>LOOKUP(F95,Reference!A$2:X$2,Reference!$A$32:$X$32)</f>
        <v>58</v>
      </c>
      <c r="AP103" s="30"/>
      <c r="AQ103" s="27">
        <f t="shared" si="49"/>
        <v>58</v>
      </c>
      <c r="AR103" s="1" t="str">
        <f t="shared" si="50"/>
        <v>Stabilized crushed aggregate berm in place and compacted at the average depth of  inches</v>
      </c>
    </row>
    <row r="104" spans="1:44" ht="12.75">
      <c r="A104" s="3" t="str">
        <f>LOOKUP(A95,Reference!$A$2:$X$2,Reference!A$11:X$11)</f>
        <v>Pavement Length</v>
      </c>
      <c r="B104" s="3"/>
      <c r="C104" s="5">
        <v>1705</v>
      </c>
      <c r="D104" t="str">
        <f>LOOKUP(C95,Reference!$A$2:$X$2,Reference!A$11:X$11)</f>
        <v>feet</v>
      </c>
      <c r="H104" s="12" t="s">
        <v>46</v>
      </c>
      <c r="I104" s="11">
        <f>IF(A95=1,I103+I99+I98,0)</f>
        <v>33607.5</v>
      </c>
      <c r="J104" s="9"/>
      <c r="K104" s="12" t="s">
        <v>48</v>
      </c>
      <c r="L104">
        <f>IF(A95=2,C104*C105,0)</f>
        <v>0</v>
      </c>
      <c r="N104" s="17" t="s">
        <v>46</v>
      </c>
      <c r="O104" s="11">
        <f>O103+O98+O99</f>
        <v>0</v>
      </c>
      <c r="P104" s="9"/>
      <c r="Q104" s="17" t="s">
        <v>46</v>
      </c>
      <c r="R104" s="11">
        <f>R103+R98+R99</f>
        <v>0</v>
      </c>
      <c r="S104" s="9"/>
      <c r="T104">
        <f t="shared" si="51"/>
        <v>3</v>
      </c>
      <c r="U104">
        <f t="shared" si="52"/>
        <v>3</v>
      </c>
      <c r="V104" s="22">
        <f>LOOKUP(A95,Reference!$A$2:$X$2,Reference!$A$33:$X$33)</f>
        <v>254</v>
      </c>
      <c r="W104" s="22">
        <f>IF(AND(A95=2,NOT(C113=424)),M107,0)+IF(AND(C104&gt;0,A95=3),1,0)+IF(AND(C104&gt;0,A95=4),1,0)+IF(A95=1,I102,0)</f>
        <v>375</v>
      </c>
      <c r="X104" s="22" t="str">
        <f>LOOKUP(B95,Reference!$A$2:$X$2,Reference!$A$33:$X$33)</f>
        <v>S.Y.</v>
      </c>
      <c r="Y104" s="22" t="str">
        <f>LOOKUP(C95,Reference!$A$2:$X$2,Reference!$A$33:$X$33)</f>
        <v>Pavement Planing</v>
      </c>
      <c r="Z104" s="22">
        <f>IF(AND(A95=2,NOT(C113=424)),C107,0)+IF(A95=1,J102,0)</f>
        <v>0</v>
      </c>
      <c r="AA104" s="22" t="str">
        <f>LOOKUP(D95,Reference!$A$2:$X$2,Reference!$A$33:$X$33)</f>
        <v> (20' length including radius)</v>
      </c>
      <c r="AB104" s="22"/>
      <c r="AC104" s="22"/>
      <c r="AD104" s="22"/>
      <c r="AE104" s="1">
        <f t="shared" si="40"/>
        <v>254</v>
      </c>
      <c r="AF104" s="1">
        <f t="shared" si="41"/>
        <v>375</v>
      </c>
      <c r="AG104" s="1" t="str">
        <f t="shared" si="42"/>
        <v>S.Y.</v>
      </c>
      <c r="AH104" s="1" t="str">
        <f t="shared" si="43"/>
        <v>Pavement Planing</v>
      </c>
      <c r="AI104" s="1">
        <f t="shared" si="44"/>
      </c>
      <c r="AJ104" s="1" t="str">
        <f t="shared" si="45"/>
        <v> (20' length including radius)</v>
      </c>
      <c r="AK104" s="1">
        <f t="shared" si="46"/>
      </c>
      <c r="AL104" s="1">
        <f t="shared" si="47"/>
      </c>
      <c r="AM104" s="1">
        <f t="shared" si="48"/>
      </c>
      <c r="AN104" s="1"/>
      <c r="AO104" s="27">
        <f>LOOKUP(F95,Reference!A$2:X$2,Reference!$A$33:$X$33)</f>
        <v>15</v>
      </c>
      <c r="AP104" s="30">
        <v>12</v>
      </c>
      <c r="AQ104" s="27">
        <f t="shared" si="49"/>
        <v>12</v>
      </c>
      <c r="AR104" s="1" t="str">
        <f t="shared" si="50"/>
        <v>Pavement Planing (20' length including radius)</v>
      </c>
    </row>
    <row r="105" spans="1:44" ht="12.75">
      <c r="A105" s="3" t="str">
        <f>LOOKUP(A95,Reference!$A$2:$X$2,Reference!A$12:X$12)</f>
        <v>Intermediate Course</v>
      </c>
      <c r="B105" s="3"/>
      <c r="C105" s="5">
        <v>0</v>
      </c>
      <c r="D105" t="str">
        <f>LOOKUP(C95,Reference!$A$2:$X$2,Reference!A$12:X$12)</f>
        <v>inches</v>
      </c>
      <c r="H105" s="7"/>
      <c r="I105" s="11"/>
      <c r="J105" s="13">
        <f>MROUND(I104*C105/12*1/27+0.4,1)</f>
        <v>0</v>
      </c>
      <c r="K105" s="12" t="s">
        <v>46</v>
      </c>
      <c r="L105">
        <f>IF(A95=2,L98+L99+L103+L104,0)</f>
        <v>0</v>
      </c>
      <c r="N105" s="18" t="s">
        <v>70</v>
      </c>
      <c r="O105" s="8">
        <f>IF(A95=3,C105,0)</f>
        <v>0</v>
      </c>
      <c r="P105" s="9">
        <f>MROUND(O104/9*O105/2400+2,5)</f>
        <v>0</v>
      </c>
      <c r="Q105" s="18" t="s">
        <v>77</v>
      </c>
      <c r="R105" s="8">
        <f>IF(A95=4,C105,0)</f>
        <v>0</v>
      </c>
      <c r="S105" s="9">
        <f>MROUND(R104/9*R105/2400+2,5)</f>
        <v>0</v>
      </c>
      <c r="T105">
        <f t="shared" si="51"/>
        <v>4</v>
      </c>
      <c r="U105">
        <f t="shared" si="52"/>
        <v>4</v>
      </c>
      <c r="V105" s="22">
        <f>LOOKUP(A95,Reference!$A$2:$X$2,Reference!$A$34:$X$34)</f>
        <v>614</v>
      </c>
      <c r="W105" s="22">
        <f>IF(AND(C104&gt;0,A95=1),1,0)+IF(AND(C104&gt;0,A95=4),1,0)+IF(A95=2,M113,0)</f>
        <v>1</v>
      </c>
      <c r="X105" s="22" t="str">
        <f>LOOKUP(B95,Reference!$A$2:$X$2,Reference!$A$34:$X$34)</f>
        <v>L.S.</v>
      </c>
      <c r="Y105" s="22" t="str">
        <f>LOOKUP(C95,Reference!$A$2:$X$2,Reference!$A$34:$X$34)</f>
        <v>Maintaining Traffic</v>
      </c>
      <c r="Z105" s="22"/>
      <c r="AA105" s="22">
        <f>LOOKUP(D95,Reference!$A$2:$X$2,Reference!$A$34:$X$34)</f>
        <v>0</v>
      </c>
      <c r="AB105" s="22"/>
      <c r="AC105" s="22"/>
      <c r="AD105" s="22"/>
      <c r="AE105" s="1">
        <f t="shared" si="40"/>
        <v>614</v>
      </c>
      <c r="AF105" s="1">
        <f t="shared" si="41"/>
        <v>1</v>
      </c>
      <c r="AG105" s="1" t="str">
        <f t="shared" si="42"/>
        <v>L.S.</v>
      </c>
      <c r="AH105" s="1" t="str">
        <f t="shared" si="43"/>
        <v>Maintaining Traffic</v>
      </c>
      <c r="AI105" s="1">
        <f t="shared" si="44"/>
      </c>
      <c r="AJ105" s="1">
        <f t="shared" si="45"/>
      </c>
      <c r="AK105" s="1">
        <f t="shared" si="46"/>
      </c>
      <c r="AL105" s="1">
        <f t="shared" si="47"/>
      </c>
      <c r="AM105" s="1">
        <f t="shared" si="48"/>
      </c>
      <c r="AN105" s="1"/>
      <c r="AO105" s="27">
        <f>LOOKUP(F95,Reference!A$2:X$2,Reference!$A$34:$X$34)</f>
        <v>2000</v>
      </c>
      <c r="AP105" s="30">
        <v>3000</v>
      </c>
      <c r="AQ105" s="27">
        <f t="shared" si="49"/>
        <v>3000</v>
      </c>
      <c r="AR105" s="1" t="str">
        <f t="shared" si="50"/>
        <v>Maintaining Traffic</v>
      </c>
    </row>
    <row r="106" spans="1:44" ht="12.75">
      <c r="A106" s="3" t="str">
        <f>LOOKUP(A95,Reference!$A$2:$X$2,Reference!A$13:X$13)</f>
        <v>Surface Course</v>
      </c>
      <c r="B106" s="3"/>
      <c r="C106" s="5">
        <v>1.5</v>
      </c>
      <c r="D106" t="str">
        <f>LOOKUP(C95,Reference!$A$2:$X$2,Reference!A$13:X$13)</f>
        <v>inches</v>
      </c>
      <c r="H106" s="7"/>
      <c r="I106" s="11"/>
      <c r="J106" s="13">
        <f>MROUND(I104*C106/12*1/27+0.4,1)</f>
        <v>156</v>
      </c>
      <c r="K106" s="3" t="s">
        <v>54</v>
      </c>
      <c r="M106">
        <f>MROUND(L105*C106/12*1/27,1)</f>
        <v>0</v>
      </c>
      <c r="N106" s="18" t="s">
        <v>64</v>
      </c>
      <c r="O106" s="11">
        <f>IF(A95=3,C106,0)</f>
        <v>0</v>
      </c>
      <c r="P106" s="9">
        <f>MROUND(O106*O104/9+2.4,5)</f>
        <v>0</v>
      </c>
      <c r="Q106" s="18" t="s">
        <v>78</v>
      </c>
      <c r="R106" s="11">
        <f>IF(A95=4,C106,0)</f>
        <v>0</v>
      </c>
      <c r="S106" s="9">
        <f>MROUND(R106*R104/9+2.4,5)</f>
        <v>0</v>
      </c>
      <c r="T106">
        <f t="shared" si="51"/>
        <v>5</v>
      </c>
      <c r="U106">
        <f t="shared" si="52"/>
        <v>5</v>
      </c>
      <c r="V106" s="22">
        <f>LOOKUP(A95,Reference!$A$2:$X$2,Reference!$A$35:$X$35)</f>
        <v>624</v>
      </c>
      <c r="W106" s="22">
        <f>IF(AND(C104&gt;0,A95=1),1,0)+IF(AND(C104&gt;0,A95=4),1,0)+IF(AND(A95=2,C113=424),M107,0)</f>
        <v>1</v>
      </c>
      <c r="X106" s="22" t="str">
        <f>LOOKUP(B95,Reference!$A$2:$X$2,Reference!$A$35:$X$35)</f>
        <v>L.S.</v>
      </c>
      <c r="Y106" s="22" t="str">
        <f>LOOKUP(C95,Reference!$A$2:$X$2,Reference!$A$35:$X$35)</f>
        <v>Mobilization</v>
      </c>
      <c r="Z106" s="22">
        <f>IF(AND(A95=2,C113=424),C107,0)</f>
        <v>0</v>
      </c>
      <c r="AA106" s="22">
        <f>LOOKUP(D95,Reference!$A$2:$X$2,Reference!$A$35:$X$35)</f>
        <v>0</v>
      </c>
      <c r="AB106" s="22"/>
      <c r="AC106" s="22"/>
      <c r="AD106" s="22"/>
      <c r="AE106" s="1">
        <f t="shared" si="40"/>
        <v>624</v>
      </c>
      <c r="AF106" s="1">
        <f t="shared" si="41"/>
        <v>1</v>
      </c>
      <c r="AG106" s="1" t="str">
        <f t="shared" si="42"/>
        <v>L.S.</v>
      </c>
      <c r="AH106" s="1" t="str">
        <f t="shared" si="43"/>
        <v>Mobilization</v>
      </c>
      <c r="AI106" s="1">
        <f t="shared" si="44"/>
      </c>
      <c r="AJ106" s="1">
        <f t="shared" si="45"/>
      </c>
      <c r="AK106" s="1">
        <f t="shared" si="46"/>
      </c>
      <c r="AL106" s="1">
        <f t="shared" si="47"/>
      </c>
      <c r="AM106" s="1">
        <f t="shared" si="48"/>
      </c>
      <c r="AN106" s="1"/>
      <c r="AO106" s="27">
        <f>LOOKUP(F95,Reference!A$2:X$2,Reference!$A$35:$X$35)</f>
        <v>3000</v>
      </c>
      <c r="AP106" s="30">
        <v>1500</v>
      </c>
      <c r="AQ106" s="27">
        <f t="shared" si="49"/>
        <v>1500</v>
      </c>
      <c r="AR106" s="1" t="str">
        <f t="shared" si="50"/>
        <v>Mobilization</v>
      </c>
    </row>
    <row r="107" spans="1:44" ht="12.75">
      <c r="A107" s="3" t="str">
        <f>LOOKUP(A95,Reference!$A$2:$X$2,Reference!A$14:X$14)</f>
        <v>Type of Surface </v>
      </c>
      <c r="B107" s="3"/>
      <c r="C107" s="5">
        <v>823</v>
      </c>
      <c r="D107" t="str">
        <f>LOOKUP(C95,Reference!$A$2:$X$2,Reference!A$14:X$14)</f>
        <v>(424, 823, 448)</v>
      </c>
      <c r="H107" s="12" t="s">
        <v>88</v>
      </c>
      <c r="I107" s="11">
        <v>0.05</v>
      </c>
      <c r="J107" s="9">
        <f>MROUND(I107*I104/9,5)</f>
        <v>185</v>
      </c>
      <c r="K107" s="8" t="s">
        <v>55</v>
      </c>
      <c r="M107">
        <f>MROUND(L105*C107/12*1/27,1)</f>
        <v>0</v>
      </c>
      <c r="N107" s="12" t="s">
        <v>69</v>
      </c>
      <c r="O107" s="11">
        <f>IF(A95=3,C107,0)</f>
        <v>0</v>
      </c>
      <c r="P107" s="9"/>
      <c r="Q107" s="12" t="s">
        <v>79</v>
      </c>
      <c r="R107" s="11">
        <f>IF(A95=4,C107,0)</f>
        <v>0</v>
      </c>
      <c r="S107" s="9"/>
      <c r="T107">
        <f t="shared" si="51"/>
        <v>6</v>
      </c>
      <c r="U107">
        <f t="shared" si="52"/>
        <v>6</v>
      </c>
      <c r="V107" s="22">
        <f>LOOKUP(A95,Reference!$A$2:$X$2,Reference!$A$36:$X$36)</f>
        <v>103.05</v>
      </c>
      <c r="W107" s="22">
        <f>+IF(A95=2,M100,0)+IF(AND(C104&gt;0,A95=1),1,0)</f>
        <v>1</v>
      </c>
      <c r="X107" s="22" t="str">
        <f>LOOKUP(B95,Reference!$A$2:$X$2,Reference!$A$36:$X$36)</f>
        <v>L.S.</v>
      </c>
      <c r="Y107" s="22" t="str">
        <f>LOOKUP(C95,Reference!$A$2:$X$2,Reference!$A$36:$X$36)</f>
        <v>Contract Performance &amp; Payment Bond</v>
      </c>
      <c r="Z107" s="22">
        <f>IF(A95=2,C101,0)</f>
        <v>0</v>
      </c>
      <c r="AA107" s="22">
        <f>LOOKUP(D95,Reference!$A$2:$X$2,Reference!$A$36:$X$36)</f>
        <v>0</v>
      </c>
      <c r="AB107" s="22"/>
      <c r="AC107" s="22"/>
      <c r="AD107" s="22"/>
      <c r="AE107" s="1">
        <f t="shared" si="40"/>
        <v>103.05</v>
      </c>
      <c r="AF107" s="1">
        <f t="shared" si="41"/>
        <v>1</v>
      </c>
      <c r="AG107" s="1" t="str">
        <f t="shared" si="42"/>
        <v>L.S.</v>
      </c>
      <c r="AH107" s="1" t="str">
        <f t="shared" si="43"/>
        <v>Contract Performance &amp; Payment Bond</v>
      </c>
      <c r="AI107" s="1">
        <f t="shared" si="44"/>
      </c>
      <c r="AJ107" s="1">
        <f t="shared" si="45"/>
      </c>
      <c r="AK107" s="1">
        <f t="shared" si="46"/>
      </c>
      <c r="AL107" s="1">
        <f t="shared" si="47"/>
      </c>
      <c r="AM107" s="1">
        <f t="shared" si="48"/>
      </c>
      <c r="AN107" s="1"/>
      <c r="AO107" s="27">
        <f>LOOKUP(F95,Reference!A$2:X$2,Reference!$A$36:$X$36)</f>
        <v>1000</v>
      </c>
      <c r="AP107" s="30">
        <v>901.5</v>
      </c>
      <c r="AQ107" s="27">
        <f t="shared" si="49"/>
        <v>901.5</v>
      </c>
      <c r="AR107" s="1" t="str">
        <f t="shared" si="50"/>
        <v>Contract Performance &amp; Payment Bond</v>
      </c>
    </row>
    <row r="108" spans="1:44" ht="12.75">
      <c r="A108" s="3">
        <f>LOOKUP(A95,Reference!$A$2:$X$2,Reference!A$15:X$15)</f>
        <v>0</v>
      </c>
      <c r="B108" s="3"/>
      <c r="C108" s="5">
        <v>0</v>
      </c>
      <c r="D108">
        <f>LOOKUP(C95,Reference!$A$2:$X$2,Reference!A$15:X$15)</f>
        <v>0</v>
      </c>
      <c r="H108" s="12" t="s">
        <v>89</v>
      </c>
      <c r="I108" s="11">
        <f>IF(C105&gt;0.1,0.05,0)</f>
        <v>0</v>
      </c>
      <c r="J108" s="9">
        <f>IF(AND(A95=1,NOT(C107=424)),MROUND(I108*I104/9,5),0)</f>
        <v>0</v>
      </c>
      <c r="K108" s="15" t="s">
        <v>57</v>
      </c>
      <c r="L108">
        <f>IF(A95=2,C105*C108,0)</f>
        <v>0</v>
      </c>
      <c r="M108">
        <f>MROUND(L108*C109/12*1/27,1)</f>
        <v>0</v>
      </c>
      <c r="N108" s="12" t="s">
        <v>59</v>
      </c>
      <c r="O108" s="11">
        <f>IF(A95=3,C108,0)</f>
        <v>0</v>
      </c>
      <c r="P108" s="9">
        <f>MROUND(O108*O104/9+2.4,5)</f>
        <v>0</v>
      </c>
      <c r="Q108" s="18" t="s">
        <v>80</v>
      </c>
      <c r="R108" s="8">
        <f>IF(A95=4,C108,0)</f>
        <v>0</v>
      </c>
      <c r="S108" s="9">
        <f>MROUND(R104/9*R108/2400+2,5)</f>
        <v>0</v>
      </c>
      <c r="T108">
        <f t="shared" si="51"/>
        <v>6.00001</v>
      </c>
      <c r="U108">
        <f t="shared" si="52"/>
        <v>6</v>
      </c>
      <c r="V108" s="22">
        <f>LOOKUP(A95,Reference!$A$2:$X$2,Reference!$A$37:$X$37)</f>
        <v>0</v>
      </c>
      <c r="W108" s="22">
        <f>IF(A95=2,L102,0)</f>
        <v>0</v>
      </c>
      <c r="X108" s="22">
        <f>LOOKUP(B95,Reference!$A$2:$X$2,Reference!$A$37:$X$37)</f>
        <v>0</v>
      </c>
      <c r="Y108" s="22">
        <f>LOOKUP(C95,Reference!$A$2:$X$2,Reference!$A$37:$X$37)</f>
        <v>0</v>
      </c>
      <c r="Z108" s="22">
        <f>IF(A95=2,M102,0)</f>
        <v>0</v>
      </c>
      <c r="AA108" s="22">
        <f>LOOKUP(D95,Reference!$A$2:$X$2,Reference!$A$37:$X$37)</f>
        <v>0</v>
      </c>
      <c r="AB108" s="22"/>
      <c r="AC108" s="22"/>
      <c r="AD108" s="22"/>
      <c r="AE108" s="1">
        <f t="shared" si="40"/>
      </c>
      <c r="AF108" s="1">
        <f t="shared" si="41"/>
      </c>
      <c r="AG108" s="1">
        <f t="shared" si="42"/>
      </c>
      <c r="AH108" s="1">
        <f t="shared" si="43"/>
      </c>
      <c r="AI108" s="1">
        <f t="shared" si="44"/>
      </c>
      <c r="AJ108" s="1">
        <f t="shared" si="45"/>
      </c>
      <c r="AK108" s="1">
        <f t="shared" si="46"/>
      </c>
      <c r="AL108" s="1">
        <f t="shared" si="47"/>
      </c>
      <c r="AM108" s="1">
        <f t="shared" si="48"/>
      </c>
      <c r="AN108" s="1"/>
      <c r="AO108" s="27">
        <f>LOOKUP(F95,Reference!A$2:X$2,Reference!$A$37:$X$37)</f>
        <v>0</v>
      </c>
      <c r="AP108" s="30"/>
      <c r="AQ108" s="27">
        <f t="shared" si="49"/>
        <v>0</v>
      </c>
      <c r="AR108" s="1">
        <f t="shared" si="50"/>
      </c>
    </row>
    <row r="109" spans="1:44" ht="12.75">
      <c r="A109" s="3">
        <f>LOOKUP(A95,Reference!$A$2:$X$2,Reference!A$16:X$16)</f>
        <v>0</v>
      </c>
      <c r="B109" s="3"/>
      <c r="C109" s="5">
        <v>0</v>
      </c>
      <c r="D109">
        <f>LOOKUP(C95,Reference!$A$2:$X$2,Reference!A$16:X$16)</f>
        <v>0</v>
      </c>
      <c r="H109" s="16" t="s">
        <v>132</v>
      </c>
      <c r="I109" s="11">
        <v>0.05</v>
      </c>
      <c r="J109" s="9">
        <f>IF(AND(A95=1,C107=424),MROUND(I109*I104/9,5),0)</f>
        <v>0</v>
      </c>
      <c r="K109" s="15" t="s">
        <v>96</v>
      </c>
      <c r="L109">
        <f>IF(A95=2,C110,0)</f>
        <v>0</v>
      </c>
      <c r="N109" s="7"/>
      <c r="O109" s="11"/>
      <c r="P109" s="9"/>
      <c r="Q109" s="18" t="s">
        <v>81</v>
      </c>
      <c r="R109" s="11">
        <f>IF(A95=4,C109,0)</f>
        <v>0</v>
      </c>
      <c r="S109" s="9">
        <f>MROUND(R109*R104/9+2.4,5)</f>
        <v>0</v>
      </c>
      <c r="T109">
        <f t="shared" si="51"/>
        <v>6.000019999999999</v>
      </c>
      <c r="U109">
        <f t="shared" si="52"/>
        <v>6</v>
      </c>
      <c r="V109" s="22">
        <f>LOOKUP(A95,Reference!$A$2:$X$2,Reference!$A$38:$X$38)</f>
        <v>0</v>
      </c>
      <c r="W109" s="22">
        <f>IF(AND(C105&gt;0,A95=2),1,0)</f>
        <v>0</v>
      </c>
      <c r="X109" s="22">
        <f>LOOKUP(B95,Reference!$A$2:$X$2,Reference!$A$38:$X$38)</f>
        <v>0</v>
      </c>
      <c r="Y109" s="22">
        <f>LOOKUP(C95,Reference!$A$2:$X$2,Reference!$A$38:$X$38)</f>
        <v>0</v>
      </c>
      <c r="Z109" s="22"/>
      <c r="AA109" s="22">
        <f>LOOKUP(D95,Reference!$A$2:$X$2,Reference!$A$38:$X$38)</f>
        <v>0</v>
      </c>
      <c r="AB109" s="22"/>
      <c r="AC109" s="22"/>
      <c r="AD109" s="22"/>
      <c r="AE109" s="1">
        <f t="shared" si="40"/>
      </c>
      <c r="AF109" s="1">
        <f t="shared" si="41"/>
      </c>
      <c r="AG109" s="1">
        <f t="shared" si="42"/>
      </c>
      <c r="AH109" s="1">
        <f t="shared" si="43"/>
      </c>
      <c r="AI109" s="1">
        <f t="shared" si="44"/>
      </c>
      <c r="AJ109" s="1">
        <f t="shared" si="45"/>
      </c>
      <c r="AK109" s="1">
        <f t="shared" si="46"/>
      </c>
      <c r="AL109" s="1">
        <f t="shared" si="47"/>
      </c>
      <c r="AM109" s="1">
        <f t="shared" si="48"/>
      </c>
      <c r="AN109" s="1"/>
      <c r="AO109" s="27">
        <f>LOOKUP(F95,Reference!A$2:X$2,Reference!$A$38:$X$38)</f>
        <v>0</v>
      </c>
      <c r="AP109" s="30"/>
      <c r="AQ109" s="27">
        <f t="shared" si="49"/>
        <v>0</v>
      </c>
      <c r="AR109" s="1">
        <f t="shared" si="50"/>
      </c>
    </row>
    <row r="110" spans="1:44" ht="12.75">
      <c r="A110" s="3">
        <f>LOOKUP(A95,Reference!$A$2:$X$2,Reference!A$17:X$17)</f>
        <v>0</v>
      </c>
      <c r="B110" s="3"/>
      <c r="C110" s="4">
        <v>0</v>
      </c>
      <c r="D110">
        <f>LOOKUP(C95,Reference!$A$2:$X$2,Reference!A$17:X$17)</f>
        <v>0</v>
      </c>
      <c r="H110" s="12" t="s">
        <v>116</v>
      </c>
      <c r="I110" s="11">
        <f>IF(A95=1,C104,0)</f>
        <v>1705</v>
      </c>
      <c r="J110" s="9"/>
      <c r="K110" s="15" t="s">
        <v>91</v>
      </c>
      <c r="L110">
        <f>IF(A95=2,C111,0)</f>
        <v>0</v>
      </c>
      <c r="N110" s="12" t="s">
        <v>116</v>
      </c>
      <c r="O110" s="11">
        <f>IF(A95=3,C104,0)</f>
        <v>0</v>
      </c>
      <c r="P110" s="9"/>
      <c r="Q110" s="12" t="s">
        <v>82</v>
      </c>
      <c r="R110" s="11">
        <f>IF(A95=4,C110,0)</f>
        <v>0</v>
      </c>
      <c r="S110" s="9"/>
      <c r="T110">
        <f t="shared" si="51"/>
        <v>6.000029999999999</v>
      </c>
      <c r="U110">
        <f t="shared" si="52"/>
        <v>6</v>
      </c>
      <c r="V110" s="22">
        <f>LOOKUP(A95,Reference!$A$2:$X$2,Reference!$A$39:$X$39)</f>
        <v>0</v>
      </c>
      <c r="W110" s="22">
        <f>IF(AND(C105&gt;0,A95=2),1,0)</f>
        <v>0</v>
      </c>
      <c r="X110" s="22">
        <f>LOOKUP(B95,Reference!$A$2:$X$2,Reference!$A$39:$X$39)</f>
        <v>0</v>
      </c>
      <c r="Y110" s="22">
        <f>LOOKUP(C95,Reference!$A$2:$X$2,Reference!$A$39:$X$39)</f>
        <v>0</v>
      </c>
      <c r="Z110" s="22"/>
      <c r="AA110" s="22">
        <f>LOOKUP(D95,Reference!$A$2:$X$2,Reference!$A$39:$X$39)</f>
        <v>0</v>
      </c>
      <c r="AB110" s="22"/>
      <c r="AC110" s="22"/>
      <c r="AD110" s="22"/>
      <c r="AE110" s="1">
        <f t="shared" si="40"/>
      </c>
      <c r="AF110" s="1">
        <f t="shared" si="41"/>
      </c>
      <c r="AG110" s="1">
        <f t="shared" si="42"/>
      </c>
      <c r="AH110" s="1">
        <f t="shared" si="43"/>
      </c>
      <c r="AI110" s="1">
        <f t="shared" si="44"/>
      </c>
      <c r="AJ110" s="1">
        <f t="shared" si="45"/>
      </c>
      <c r="AK110" s="1">
        <f t="shared" si="46"/>
      </c>
      <c r="AL110" s="1">
        <f t="shared" si="47"/>
      </c>
      <c r="AM110" s="1">
        <f t="shared" si="48"/>
      </c>
      <c r="AN110" s="1"/>
      <c r="AO110" s="27">
        <f>LOOKUP(F95,Reference!A$2:X$2,Reference!$A$39:$X$39)</f>
        <v>0</v>
      </c>
      <c r="AP110" s="30"/>
      <c r="AQ110" s="27">
        <f t="shared" si="49"/>
        <v>0</v>
      </c>
      <c r="AR110" s="1">
        <f t="shared" si="50"/>
      </c>
    </row>
    <row r="111" spans="1:44" ht="12.75">
      <c r="A111" s="3">
        <f>LOOKUP(A95,Reference!$A$2:$X$2,Reference!A$18:O$18)</f>
        <v>0</v>
      </c>
      <c r="B111" s="3"/>
      <c r="C111" s="5">
        <v>0</v>
      </c>
      <c r="D111">
        <f>LOOKUP(C95,Reference!$A$2:$X$2,Reference!A$18:X$18)</f>
        <v>0</v>
      </c>
      <c r="H111" s="12" t="s">
        <v>117</v>
      </c>
      <c r="I111" s="11">
        <f>IF(A95=1,C103,0)</f>
        <v>19.5</v>
      </c>
      <c r="J111" s="9"/>
      <c r="K111" s="16" t="s">
        <v>88</v>
      </c>
      <c r="L111">
        <v>0.05</v>
      </c>
      <c r="M111">
        <f>MROUND(L111*L105/9,5)</f>
        <v>0</v>
      </c>
      <c r="N111" s="12" t="s">
        <v>117</v>
      </c>
      <c r="O111" s="11">
        <f>IF(A95=3,C103,0)</f>
        <v>0</v>
      </c>
      <c r="P111" s="9"/>
      <c r="Q111" s="12" t="s">
        <v>59</v>
      </c>
      <c r="R111" s="11">
        <f>IF(A95=4,C111,0)</f>
        <v>0</v>
      </c>
      <c r="S111" s="9">
        <f>MROUND(R111*R104/9+2.4,5)</f>
        <v>0</v>
      </c>
      <c r="T111">
        <f t="shared" si="51"/>
        <v>6.0000399999999985</v>
      </c>
      <c r="U111">
        <f t="shared" si="52"/>
        <v>6</v>
      </c>
      <c r="V111" s="22">
        <f>LOOKUP(A95,Reference!$A$2:$X$2,Reference!$A$40:$X$40)</f>
        <v>0</v>
      </c>
      <c r="W111" s="22">
        <f>IF(AND(C105&gt;0,A95=2),1,0)</f>
        <v>0</v>
      </c>
      <c r="X111" s="22">
        <f>LOOKUP(B95,Reference!$A$2:$X$2,Reference!$A$40:$X$40)</f>
        <v>0</v>
      </c>
      <c r="Y111" s="22">
        <f>LOOKUP(C95,Reference!$A$2:$X$2,Reference!$A$40:$X$40)</f>
        <v>0</v>
      </c>
      <c r="Z111" s="22"/>
      <c r="AA111" s="22">
        <f>LOOKUP(D95,Reference!$A$2:$X$2,Reference!$A$40:$X$40)</f>
        <v>0</v>
      </c>
      <c r="AB111" s="22"/>
      <c r="AC111" s="22"/>
      <c r="AD111" s="22"/>
      <c r="AE111" s="1">
        <f t="shared" si="40"/>
      </c>
      <c r="AF111" s="1">
        <f t="shared" si="41"/>
      </c>
      <c r="AG111" s="1">
        <f t="shared" si="42"/>
      </c>
      <c r="AH111" s="1">
        <f t="shared" si="43"/>
      </c>
      <c r="AI111" s="1">
        <f t="shared" si="44"/>
      </c>
      <c r="AJ111" s="1">
        <f t="shared" si="45"/>
      </c>
      <c r="AK111" s="1">
        <f t="shared" si="46"/>
      </c>
      <c r="AL111" s="1">
        <f t="shared" si="47"/>
      </c>
      <c r="AM111" s="1">
        <f t="shared" si="48"/>
      </c>
      <c r="AN111" s="1"/>
      <c r="AO111" s="27">
        <f>LOOKUP(F95,Reference!A$2:X$2,Reference!$A$40:$X$40)</f>
        <v>0</v>
      </c>
      <c r="AP111" s="30"/>
      <c r="AQ111" s="27">
        <f t="shared" si="49"/>
        <v>0</v>
      </c>
      <c r="AR111" s="1">
        <f t="shared" si="50"/>
      </c>
    </row>
    <row r="112" spans="1:44" ht="12.75">
      <c r="A112" s="3">
        <f>LOOKUP(A95,Reference!$A$2:$X$2,Reference!A$19:O$19)</f>
        <v>0</v>
      </c>
      <c r="B112" s="3"/>
      <c r="C112" s="4"/>
      <c r="D112">
        <f>LOOKUP(C95,Reference!$A$2:$X$2,Reference!A$19:X$19)</f>
        <v>0</v>
      </c>
      <c r="H112" s="7"/>
      <c r="I112" s="11"/>
      <c r="J112" s="9"/>
      <c r="K112" s="16" t="s">
        <v>89</v>
      </c>
      <c r="L112">
        <f>IF(C106&gt;0.1,0.05,0)</f>
        <v>0.05</v>
      </c>
      <c r="M112">
        <f>IF(NOT(C113=424),MROUND(L112*L105/9,5),0)</f>
        <v>0</v>
      </c>
      <c r="N112" s="7"/>
      <c r="O112" s="11"/>
      <c r="P112" s="9"/>
      <c r="R112" s="11"/>
      <c r="S112" s="9"/>
      <c r="T112">
        <f t="shared" si="51"/>
        <v>6.000049999999998</v>
      </c>
      <c r="U112">
        <f t="shared" si="52"/>
        <v>6</v>
      </c>
      <c r="V112" s="22">
        <f>LOOKUP(A95,Reference!$A$2:$X$2,Reference!$A$41:$X$41)</f>
        <v>0</v>
      </c>
      <c r="W112" s="22"/>
      <c r="X112" s="22">
        <f>LOOKUP(B95,Reference!$A$2:$X$2,Reference!$A$41:$X$41)</f>
        <v>0</v>
      </c>
      <c r="Y112" s="22">
        <f>LOOKUP(C95,Reference!$A$2:$X$2,Reference!$A$41:$X$41)</f>
        <v>0</v>
      </c>
      <c r="Z112" s="22"/>
      <c r="AA112" s="22">
        <f>LOOKUP(D95,Reference!$A$2:$X$2,Reference!$A$41:$X$41)</f>
        <v>0</v>
      </c>
      <c r="AB112" s="22"/>
      <c r="AC112" s="22"/>
      <c r="AD112" s="22"/>
      <c r="AE112" s="1">
        <f t="shared" si="40"/>
      </c>
      <c r="AF112" s="1">
        <f t="shared" si="41"/>
      </c>
      <c r="AG112" s="1">
        <f t="shared" si="42"/>
      </c>
      <c r="AH112" s="1">
        <f t="shared" si="43"/>
      </c>
      <c r="AI112" s="1">
        <f t="shared" si="44"/>
      </c>
      <c r="AJ112" s="1">
        <f t="shared" si="45"/>
      </c>
      <c r="AK112" s="1">
        <f t="shared" si="46"/>
      </c>
      <c r="AL112" s="1">
        <f t="shared" si="47"/>
      </c>
      <c r="AM112" s="1">
        <f t="shared" si="48"/>
      </c>
      <c r="AN112" s="1"/>
      <c r="AO112" s="27">
        <f>LOOKUP(F95,Reference!A$2:X$2,Reference!$A$41:$X$41)</f>
        <v>0</v>
      </c>
      <c r="AP112" s="30"/>
      <c r="AQ112" s="27">
        <f t="shared" si="49"/>
        <v>0</v>
      </c>
      <c r="AR112" s="1">
        <f t="shared" si="50"/>
      </c>
    </row>
    <row r="113" spans="1:44" ht="12.75">
      <c r="A113" s="3">
        <f>LOOKUP(A95,Reference!$A$2:$X$2,Reference!A$20:X$20)</f>
        <v>0</v>
      </c>
      <c r="B113" s="3"/>
      <c r="C113" s="5"/>
      <c r="D113">
        <f>LOOKUP(C95,Reference!$A$2:$X$2,Reference!A$20:X$20)</f>
        <v>0</v>
      </c>
      <c r="H113" s="7"/>
      <c r="I113" s="11"/>
      <c r="J113" s="9"/>
      <c r="K113" s="16" t="s">
        <v>132</v>
      </c>
      <c r="L113">
        <f>IF(C106&gt;0.1,0.08,0)</f>
        <v>0.08</v>
      </c>
      <c r="M113">
        <f>IF(C113=424,MROUND(L113*L105/9,5),0)</f>
        <v>0</v>
      </c>
      <c r="N113" s="12"/>
      <c r="O113" s="11"/>
      <c r="P113" s="19"/>
      <c r="Q113" s="12" t="s">
        <v>116</v>
      </c>
      <c r="R113" s="11">
        <f>IF(A95=4,C104,0)</f>
        <v>0</v>
      </c>
      <c r="S113" s="9"/>
      <c r="T113">
        <f t="shared" si="51"/>
        <v>6.000059999999998</v>
      </c>
      <c r="U113">
        <f t="shared" si="52"/>
        <v>6</v>
      </c>
      <c r="V113" s="22">
        <f>LOOKUP(A95,Reference!$A$2:$X$2,Reference!$A$42:$X$42)</f>
        <v>0</v>
      </c>
      <c r="W113" s="22"/>
      <c r="X113" s="22">
        <f>LOOKUP(B95,Reference!$A$2:$X$2,Reference!$A$42:$X$42)</f>
        <v>0</v>
      </c>
      <c r="Y113" s="22">
        <f>LOOKUP(C95,Reference!$A$2:$X$2,Reference!$A$42:$X$42)</f>
        <v>0</v>
      </c>
      <c r="Z113" s="22"/>
      <c r="AA113" s="22">
        <f>LOOKUP(D95,Reference!$A$2:$X$2,Reference!$A$42:$X$42)</f>
        <v>0</v>
      </c>
      <c r="AB113" s="22"/>
      <c r="AC113" s="22"/>
      <c r="AD113" s="22"/>
      <c r="AE113" s="1">
        <f t="shared" si="40"/>
      </c>
      <c r="AF113" s="1">
        <f t="shared" si="41"/>
      </c>
      <c r="AG113" s="1">
        <f t="shared" si="42"/>
      </c>
      <c r="AH113" s="1">
        <f t="shared" si="43"/>
      </c>
      <c r="AI113" s="1">
        <f t="shared" si="44"/>
      </c>
      <c r="AJ113" s="1">
        <f t="shared" si="45"/>
      </c>
      <c r="AK113" s="1">
        <f t="shared" si="46"/>
      </c>
      <c r="AL113" s="1">
        <f t="shared" si="47"/>
      </c>
      <c r="AM113" s="1">
        <f t="shared" si="48"/>
      </c>
      <c r="AN113" s="1"/>
      <c r="AO113" s="27">
        <f>LOOKUP(F95,Reference!A$2:X$2,Reference!$A$42:$X$42)</f>
        <v>0</v>
      </c>
      <c r="AP113" s="30"/>
      <c r="AQ113" s="27">
        <f t="shared" si="49"/>
        <v>0</v>
      </c>
      <c r="AR113" s="1">
        <f t="shared" si="50"/>
      </c>
    </row>
    <row r="114" spans="1:44" ht="12.75">
      <c r="A114" s="3">
        <f>LOOKUP(A95,Reference!$A$2:$X$2,Reference!A$21:X$21)</f>
        <v>0</v>
      </c>
      <c r="B114" s="3"/>
      <c r="C114" s="5"/>
      <c r="D114">
        <f>LOOKUP(C95,Reference!$A$2:$X$2,Reference!A$21:X$21)</f>
        <v>0</v>
      </c>
      <c r="H114" s="7"/>
      <c r="I114" s="11"/>
      <c r="J114" s="9"/>
      <c r="K114" s="16" t="s">
        <v>101</v>
      </c>
      <c r="L114">
        <f>MROUND(L108/9,5)</f>
        <v>0</v>
      </c>
      <c r="N114" s="7"/>
      <c r="O114" s="11"/>
      <c r="P114" s="9"/>
      <c r="Q114" s="12" t="s">
        <v>117</v>
      </c>
      <c r="R114" s="11">
        <f>IF(A95=4,C103,0)</f>
        <v>0</v>
      </c>
      <c r="S114" s="9"/>
      <c r="V114" s="3" t="s">
        <v>98</v>
      </c>
      <c r="W114">
        <f>MROUND(SUM(R104,O104,L105,I104)/9,5)</f>
        <v>3735</v>
      </c>
      <c r="AO114" s="26"/>
      <c r="AP114" s="26"/>
      <c r="AQ114" s="26"/>
      <c r="AR114" s="1">
        <f>CONCATENATE(AH114,AI114,AJ114,AK114,,AM114,AN114)</f>
      </c>
    </row>
    <row r="115" spans="1:28" ht="12.75">
      <c r="A115" s="3">
        <f>LOOKUP(A95,Reference!$A$2:$X$2,Reference!C$22:X$22)</f>
        <v>0</v>
      </c>
      <c r="B115" s="3"/>
      <c r="C115" s="5"/>
      <c r="D115">
        <f>LOOKUP(C95,Reference!$A$2:$X$2,Reference!C$22:X$22)</f>
        <v>0</v>
      </c>
      <c r="H115" s="7"/>
      <c r="I115" s="11"/>
      <c r="J115" s="9"/>
      <c r="K115" s="12" t="s">
        <v>116</v>
      </c>
      <c r="L115">
        <f>IF(A95=2,C105,0)</f>
        <v>0</v>
      </c>
      <c r="N115" s="7"/>
      <c r="O115" s="11"/>
      <c r="P115" s="9"/>
      <c r="R115" s="11"/>
      <c r="S115" s="9"/>
      <c r="V115" s="3" t="s">
        <v>118</v>
      </c>
      <c r="W115">
        <f>R113+O110+L115+I110</f>
        <v>1705</v>
      </c>
      <c r="X115" s="3" t="s">
        <v>121</v>
      </c>
      <c r="Y115">
        <f>MROUND(W115/5280,0.01)</f>
        <v>0.32</v>
      </c>
      <c r="Z115" s="3" t="s">
        <v>120</v>
      </c>
      <c r="AB115" t="str">
        <f>CONCATENATE(V115,W115,X115,Y115,Z115)</f>
        <v>Length:  1705 Feet or 0.32 Mile(s)</v>
      </c>
    </row>
    <row r="116" spans="1:28" ht="12.75">
      <c r="A116" s="3">
        <f>LOOKUP(A95,Reference!$A$2:$X$2,Reference!A$23:X$23)</f>
        <v>0</v>
      </c>
      <c r="B116" s="3"/>
      <c r="C116" s="5"/>
      <c r="D116">
        <f>LOOKUP(C95,Reference!$A$2:$X$2,Reference!A$23:X$23)</f>
        <v>0</v>
      </c>
      <c r="H116" s="7"/>
      <c r="I116" s="11"/>
      <c r="J116" s="9"/>
      <c r="K116" s="12" t="s">
        <v>117</v>
      </c>
      <c r="L116">
        <f>IF(A95=2,C104,0)</f>
        <v>0</v>
      </c>
      <c r="N116" s="7"/>
      <c r="O116" s="11"/>
      <c r="P116" s="9"/>
      <c r="R116" s="11"/>
      <c r="S116" s="19"/>
      <c r="V116" s="3" t="s">
        <v>119</v>
      </c>
      <c r="W116">
        <f>R114+O111+L116+I111</f>
        <v>19.5</v>
      </c>
      <c r="X116" s="3" t="s">
        <v>122</v>
      </c>
      <c r="Y116" s="3" t="s">
        <v>123</v>
      </c>
      <c r="Z116" s="25">
        <f>W114</f>
        <v>3735</v>
      </c>
      <c r="AA116" s="3" t="s">
        <v>124</v>
      </c>
      <c r="AB116" t="str">
        <f>CONCATENATE(V116,W116,X116,Y116,Z116,AA116)</f>
        <v>Width:  19.5 Feet     (Approx. 3735 S.Y. including radius and driveway work)</v>
      </c>
    </row>
    <row r="117" spans="1:28" ht="12.75">
      <c r="A117" s="3">
        <f>LOOKUP(A95,Reference!$A$2:$X$2,Reference!A$24:X$24)</f>
        <v>0</v>
      </c>
      <c r="B117" s="3"/>
      <c r="C117" s="5"/>
      <c r="D117">
        <f>LOOKUP(C95,Reference!$A$2:$X$2,Reference!A$24:X$24)</f>
        <v>0</v>
      </c>
      <c r="H117" s="7">
        <f>IF(AND(A95=1,C107=424),"Type: ODOT Spec 424 Smooth Seal ","")</f>
      </c>
      <c r="I117" s="11" t="str">
        <f>IF(AND(A95=1,NOT(C107=424)),"Type: ODOT Spec 823 ","")</f>
        <v>Type: ODOT Spec 823 </v>
      </c>
      <c r="J117" s="9"/>
      <c r="K117" s="18">
        <f>IF(A95=2,"Type: ODOT Spec 448, with Spec 301 Widening ","")</f>
      </c>
      <c r="N117" s="7">
        <f>IF(A95=3,"Type: Chip Seal, 1997 ODOT Spec 409 ","")</f>
      </c>
      <c r="O117" s="11">
        <f>IF(O108&gt;0,"W/ Fog Seal","")</f>
      </c>
      <c r="P117" s="9"/>
      <c r="Q117">
        <f>IF(A95=4,"Type: Double Chip Seal, 1997 ODOT Spec 409 ","")</f>
      </c>
      <c r="R117" s="11">
        <f>IF(R111&gt;0,"W/ Fog Seal","")</f>
      </c>
      <c r="S117" s="9"/>
      <c r="V117" s="3">
        <f>IF(C100&gt;0,"W/ 617 Berm @ ","")</f>
      </c>
      <c r="W117" s="29">
        <f>IF(C100&gt;0,C100/12,"")</f>
      </c>
      <c r="X117" s="3">
        <f>IF(C100&gt;0," Feet Wide Each Side","")</f>
      </c>
      <c r="AB117" t="str">
        <f>CONCATENATE(H117,I117,J117,K117,L117,M117,N117,O117,P117,Q117,R117,S117,T117,U117,V117,W117,X117)</f>
        <v>Type: ODOT Spec 823 </v>
      </c>
    </row>
    <row r="125" spans="1:19" ht="12.75">
      <c r="A125" s="2" t="s">
        <v>136</v>
      </c>
      <c r="B125" s="3"/>
      <c r="C125" s="3" t="str">
        <f>"1 = Paving    2 = Paving-Widening     3= Chip Seal   4=Double Chip Seal"</f>
        <v>1 = Paving    2 = Paving-Widening     3= Chip Seal   4=Double Chip Seal</v>
      </c>
      <c r="I125">
        <f>I94</f>
        <v>1</v>
      </c>
      <c r="J125">
        <f>J94</f>
        <v>1.5</v>
      </c>
      <c r="L125">
        <f>L94</f>
        <v>2</v>
      </c>
      <c r="M125">
        <f>M94</f>
        <v>2.5</v>
      </c>
      <c r="O125">
        <f>O94</f>
        <v>3</v>
      </c>
      <c r="P125">
        <f>P94</f>
        <v>3.5</v>
      </c>
      <c r="R125">
        <f>R94</f>
        <v>4</v>
      </c>
      <c r="S125">
        <f>S94</f>
        <v>4.5</v>
      </c>
    </row>
    <row r="126" spans="1:19" ht="12.75">
      <c r="A126" s="6">
        <v>1</v>
      </c>
      <c r="B126" s="20">
        <f>A126+0.2</f>
        <v>1.2</v>
      </c>
      <c r="C126">
        <f>A126+0.5</f>
        <v>1.5</v>
      </c>
      <c r="D126">
        <f>A126+0.7</f>
        <v>1.7</v>
      </c>
      <c r="E126">
        <f>A126+0.8</f>
        <v>1.8</v>
      </c>
      <c r="F126">
        <f>A126+0.9</f>
        <v>1.9</v>
      </c>
      <c r="H126" s="7"/>
      <c r="I126" s="8" t="s">
        <v>37</v>
      </c>
      <c r="J126" s="9"/>
      <c r="K126" s="11"/>
      <c r="L126" t="s">
        <v>38</v>
      </c>
      <c r="N126" s="7"/>
      <c r="O126" s="8" t="s">
        <v>31</v>
      </c>
      <c r="P126" s="9"/>
      <c r="Q126" s="7"/>
      <c r="R126" s="8" t="s">
        <v>39</v>
      </c>
      <c r="S126" s="9"/>
    </row>
    <row r="127" spans="1:43" ht="12.75">
      <c r="A127" s="2" t="str">
        <f>LOOKUP(A126,Reference!$A$2:$S$2,Reference!A$3:S$3)</f>
        <v>Paving</v>
      </c>
      <c r="B127" s="2"/>
      <c r="H127" s="7"/>
      <c r="I127" s="10" t="s">
        <v>28</v>
      </c>
      <c r="J127" s="9"/>
      <c r="K127" s="11"/>
      <c r="L127" s="10" t="s">
        <v>28</v>
      </c>
      <c r="M127" s="11"/>
      <c r="N127" s="7"/>
      <c r="O127" s="10" t="s">
        <v>28</v>
      </c>
      <c r="P127" s="9"/>
      <c r="Q127" s="7"/>
      <c r="R127" s="10" t="s">
        <v>28</v>
      </c>
      <c r="S127" s="9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4" ht="12.75">
      <c r="A128" s="3" t="str">
        <f>LOOKUP(A126,Reference!$A$2:$X$2,Reference!A$4:X$4)</f>
        <v>Name</v>
      </c>
      <c r="B128" s="3"/>
      <c r="C128" s="4" t="s">
        <v>172</v>
      </c>
      <c r="D128" t="str">
        <f>"1st Length"</f>
        <v>1st Length</v>
      </c>
      <c r="E128" t="str">
        <f>"2nd Length"</f>
        <v>2nd Length</v>
      </c>
      <c r="F128" t="str">
        <f>"3rd Length"</f>
        <v>3rd Length</v>
      </c>
      <c r="G128" t="str">
        <f>"4th Length"</f>
        <v>4th Length</v>
      </c>
      <c r="H128" s="7"/>
      <c r="I128" s="11" t="s">
        <v>26</v>
      </c>
      <c r="J128" s="9" t="s">
        <v>50</v>
      </c>
      <c r="K128" s="11"/>
      <c r="L128" s="11" t="s">
        <v>26</v>
      </c>
      <c r="M128" s="8" t="s">
        <v>68</v>
      </c>
      <c r="N128" s="7"/>
      <c r="O128" s="11" t="s">
        <v>26</v>
      </c>
      <c r="P128" s="19" t="s">
        <v>67</v>
      </c>
      <c r="Q128" s="7"/>
      <c r="R128" s="11" t="s">
        <v>26</v>
      </c>
      <c r="S128" s="19" t="s">
        <v>67</v>
      </c>
      <c r="V128" s="23" t="s">
        <v>2</v>
      </c>
      <c r="W128" s="24" t="s">
        <v>86</v>
      </c>
      <c r="X128" s="24" t="s">
        <v>3</v>
      </c>
      <c r="Y128" s="24" t="s">
        <v>4</v>
      </c>
      <c r="Z128" s="21"/>
      <c r="AA128" s="22"/>
      <c r="AB128" s="22"/>
      <c r="AC128" s="22"/>
      <c r="AD128" s="2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7" t="s">
        <v>126</v>
      </c>
      <c r="AP128" s="27" t="s">
        <v>127</v>
      </c>
      <c r="AQ128" s="27" t="s">
        <v>128</v>
      </c>
      <c r="AR128" s="27" t="s">
        <v>4</v>
      </c>
    </row>
    <row r="129" spans="1:44" ht="12.75">
      <c r="A129" s="3" t="str">
        <f>LOOKUP(A126,Reference!$A$2:$X$2,Reference!A$5:X$5)</f>
        <v>Radii</v>
      </c>
      <c r="B129" s="3"/>
      <c r="C129" s="5">
        <v>12</v>
      </c>
      <c r="D129" t="str">
        <f>LOOKUP(C126,Reference!$A$2:$X$2,Reference!A$5:X$5)</f>
        <v>@ 10 SY Each</v>
      </c>
      <c r="H129" s="12" t="s">
        <v>47</v>
      </c>
      <c r="I129" s="11">
        <f>IF(A126=1,10*C129*9,0)</f>
        <v>1080</v>
      </c>
      <c r="J129" s="9"/>
      <c r="K129" s="12" t="s">
        <v>47</v>
      </c>
      <c r="L129">
        <f>IF(A126=2,10*C129*9,0)</f>
        <v>0</v>
      </c>
      <c r="N129" s="12" t="s">
        <v>47</v>
      </c>
      <c r="O129" s="11">
        <f>IF(A126=3,10*C129*9,0)</f>
        <v>0</v>
      </c>
      <c r="P129" s="9"/>
      <c r="Q129" s="12" t="s">
        <v>47</v>
      </c>
      <c r="R129" s="11">
        <f>IF(A126=4,10*C129*9,0)</f>
        <v>0</v>
      </c>
      <c r="S129" s="9"/>
      <c r="T129">
        <f>IF(W129&gt;0,1,0)</f>
        <v>1</v>
      </c>
      <c r="U129">
        <f>T129</f>
        <v>1</v>
      </c>
      <c r="V129" s="22">
        <f>LOOKUP(A126,Reference!$A$2:$X$2,Reference!$A$27:$X$27)</f>
        <v>407</v>
      </c>
      <c r="W129" s="22">
        <f>IF(A126=1,J138+J139,0)+IF(A126=2,L141,0)+IF(A126=3,P137,0)+IF(A126=4,S137,0)</f>
        <v>1650</v>
      </c>
      <c r="X129" s="22" t="str">
        <f>LOOKUP(B126,Reference!$A$2:$X$2,Reference!$A$27:$X$27)</f>
        <v>Gal</v>
      </c>
      <c r="Y129" s="22" t="str">
        <f>LOOKUP(C126,Reference!$A$2:$X$2,Reference!$A$27:X$27)</f>
        <v>Bituminous Tack Coat applied at 0.05 gallons per square yard</v>
      </c>
      <c r="Z129" s="22">
        <f>IF(A126=3,O137,0)+IF(A126=4,R137,0)</f>
        <v>0</v>
      </c>
      <c r="AA129" s="22">
        <f>LOOKUP(D126,Reference!$A$2:$X$2,Reference!$A$27:$X$27)</f>
        <v>0</v>
      </c>
      <c r="AB129" s="22"/>
      <c r="AC129" s="22"/>
      <c r="AD129" s="22"/>
      <c r="AE129" s="1">
        <f aca="true" t="shared" si="53" ref="AE129:AE144">IF(V129=0,"",V129)</f>
        <v>407</v>
      </c>
      <c r="AF129" s="1">
        <f aca="true" t="shared" si="54" ref="AF129:AF144">IF(W129=0,"",W129)</f>
        <v>1650</v>
      </c>
      <c r="AG129" s="1" t="str">
        <f aca="true" t="shared" si="55" ref="AG129:AG144">IF(X129=0,"",X129)</f>
        <v>Gal</v>
      </c>
      <c r="AH129" s="1" t="str">
        <f aca="true" t="shared" si="56" ref="AH129:AH144">IF(Y129=0,"",Y129)</f>
        <v>Bituminous Tack Coat applied at 0.05 gallons per square yard</v>
      </c>
      <c r="AI129" s="1">
        <f aca="true" t="shared" si="57" ref="AI129:AI144">IF(Z129=0,"",Z129)</f>
      </c>
      <c r="AJ129" s="1">
        <f aca="true" t="shared" si="58" ref="AJ129:AJ144">IF(AA129=0,"",AA129)</f>
      </c>
      <c r="AK129" s="1">
        <f aca="true" t="shared" si="59" ref="AK129:AK144">IF(AB129=0,"",AB129)</f>
      </c>
      <c r="AL129" s="1">
        <f aca="true" t="shared" si="60" ref="AL129:AL144">IF(AC129=0,"",AC129)</f>
      </c>
      <c r="AM129" s="1">
        <f aca="true" t="shared" si="61" ref="AM129:AM144">IF(AD129=0,"",AD129)</f>
      </c>
      <c r="AN129" s="1"/>
      <c r="AO129" s="27">
        <f>LOOKUP(F126,Reference!A$2:X$2,Reference!$A$27:$X$27)</f>
        <v>2.1</v>
      </c>
      <c r="AP129" s="30"/>
      <c r="AQ129" s="27">
        <f aca="true" t="shared" si="62" ref="AQ129:AQ144">IF(AP129&gt;0,AP129,AO129)</f>
        <v>2.1</v>
      </c>
      <c r="AR129" s="1" t="str">
        <f aca="true" t="shared" si="63" ref="AR129:AR144">CONCATENATE(AH129,AI129,AJ129,AK129,AL129,AM129,AN129)</f>
        <v>Bituminous Tack Coat applied at 0.05 gallons per square yard</v>
      </c>
    </row>
    <row r="130" spans="1:44" ht="12.75">
      <c r="A130" s="3" t="str">
        <f>LOOKUP(A126,Reference!$A$2:$X$2,Reference!A$6:X$6)</f>
        <v>Drives</v>
      </c>
      <c r="B130" s="3"/>
      <c r="C130" s="5">
        <v>30</v>
      </c>
      <c r="D130" t="str">
        <f>LOOKUP(C126,Reference!$A$2:$X$2,Reference!A$6:X$6)</f>
        <v>@ 4 SY Each</v>
      </c>
      <c r="H130" s="12" t="s">
        <v>17</v>
      </c>
      <c r="I130" s="11">
        <f>IF(A126=1,4*C130*9,0)</f>
        <v>1080</v>
      </c>
      <c r="J130" s="9"/>
      <c r="K130" s="12" t="s">
        <v>17</v>
      </c>
      <c r="L130">
        <f>IF(A126=2,4*C130*9,0)</f>
        <v>0</v>
      </c>
      <c r="N130" s="12" t="s">
        <v>17</v>
      </c>
      <c r="O130" s="11">
        <f>IF(A126=3,4*C130*9,0)</f>
        <v>0</v>
      </c>
      <c r="P130" s="9"/>
      <c r="Q130" s="12" t="s">
        <v>17</v>
      </c>
      <c r="R130" s="11">
        <f>IF(A126=4,4*C130*9,0)</f>
        <v>0</v>
      </c>
      <c r="S130" s="9"/>
      <c r="T130">
        <f aca="true" t="shared" si="64" ref="T130:T144">IF(W130&gt;0,U129+1,T129+0.00001)</f>
        <v>1.00001</v>
      </c>
      <c r="U130">
        <f aca="true" t="shared" si="65" ref="U130:U144">IF(T130&gt;U129+0.5,U129+1,U129)</f>
        <v>1</v>
      </c>
      <c r="V130" s="22">
        <f>LOOKUP(A126,Reference!$A$2:$X$2,Reference!$A$28:$X$28)</f>
        <v>823</v>
      </c>
      <c r="W130" s="22">
        <f>IF(A126=1,J136,0)+IF(A126=2,M139,0)+IF(A126=3,P136,0)+IF(A126=4,S139,0)</f>
        <v>0</v>
      </c>
      <c r="X130" s="22" t="str">
        <f>LOOKUP(B126,Reference!$A$2:$X$2,Reference!$A$28:$X$28)</f>
        <v>C.Y.</v>
      </c>
      <c r="Y130" s="22" t="str">
        <f>LOOKUP(C126,Reference!$A$2:$X$2,Reference!$A$28:$X$28)</f>
        <v>Asphalt intermediate course PG 64-22, Type 1 (823) applied, spread and compacted at the average depth of </v>
      </c>
      <c r="Z130" s="22">
        <f>IF(A126=1,C136,0)+IF(A126=2,C139,0)+IF(A126=3,O138,0)+IF(A126=4,R138,0)</f>
        <v>0</v>
      </c>
      <c r="AA130" s="22" t="str">
        <f>LOOKUP(D126,Reference!$A$2:$X$2,Reference!$A$28:$X$28)</f>
        <v> inches</v>
      </c>
      <c r="AB130" s="22">
        <f>IF(A126=3,O136,0)+IF(A126=4,R136,0)</f>
        <v>0</v>
      </c>
      <c r="AC130" s="22">
        <f>IF(A126=2,C143,0)</f>
        <v>0</v>
      </c>
      <c r="AD130" s="22">
        <f>LOOKUP(E126,Reference!$A$2:$X$2,Reference!$A$28:$X$28)</f>
        <v>0</v>
      </c>
      <c r="AE130" s="1">
        <f t="shared" si="53"/>
        <v>823</v>
      </c>
      <c r="AF130" s="1">
        <f t="shared" si="54"/>
      </c>
      <c r="AG130" s="1" t="str">
        <f t="shared" si="55"/>
        <v>C.Y.</v>
      </c>
      <c r="AH130" s="1" t="str">
        <f t="shared" si="56"/>
        <v>Asphalt intermediate course PG 64-22, Type 1 (823) applied, spread and compacted at the average depth of </v>
      </c>
      <c r="AI130" s="1">
        <f t="shared" si="57"/>
      </c>
      <c r="AJ130" s="1" t="str">
        <f t="shared" si="58"/>
        <v> inches</v>
      </c>
      <c r="AK130" s="1">
        <f t="shared" si="59"/>
      </c>
      <c r="AL130" s="1">
        <f t="shared" si="60"/>
      </c>
      <c r="AM130" s="1">
        <f t="shared" si="61"/>
      </c>
      <c r="AN130" s="1"/>
      <c r="AO130" s="27">
        <f>LOOKUP(F126,Reference!A$2:X$2,Reference!$A$28:$X$28)</f>
        <v>150</v>
      </c>
      <c r="AP130" s="30"/>
      <c r="AQ130" s="27">
        <f t="shared" si="62"/>
        <v>150</v>
      </c>
      <c r="AR130" s="1" t="str">
        <f t="shared" si="63"/>
        <v>Asphalt intermediate course PG 64-22, Type 1 (823) applied, spread and compacted at the average depth of  inches</v>
      </c>
    </row>
    <row r="131" spans="1:44" ht="12.75">
      <c r="A131" s="3" t="str">
        <f>LOOKUP(A126,Reference!$A$2:$X$2,Reference!A$7:X$7)</f>
        <v>Berm (Per Side)</v>
      </c>
      <c r="B131" s="3"/>
      <c r="C131" s="5">
        <v>0</v>
      </c>
      <c r="D131" t="str">
        <f>LOOKUP(C126,Reference!$A$2:$X$2,Reference!A$7:X$7)</f>
        <v>inches</v>
      </c>
      <c r="H131" s="12" t="s">
        <v>18</v>
      </c>
      <c r="I131" s="11">
        <f>IF(A126=1,C131*2*C135/12,0)</f>
        <v>0</v>
      </c>
      <c r="J131" s="9">
        <f>MROUND(I131*C132/12*1/27+0.4,1)</f>
        <v>0</v>
      </c>
      <c r="K131" s="12" t="s">
        <v>18</v>
      </c>
      <c r="L131">
        <f>IF(A126=2,C131*2*C136/12,0)</f>
        <v>0</v>
      </c>
      <c r="M131">
        <f>MROUND(L131*C132/12*1/27+0.4,1)</f>
        <v>0</v>
      </c>
      <c r="N131" s="12" t="s">
        <v>18</v>
      </c>
      <c r="O131" s="11">
        <f>IF(A126=3,C131*2*C135/12,0)</f>
        <v>0</v>
      </c>
      <c r="P131" s="9">
        <f>MROUND(O131*C132/12*1/27+0.4,1)</f>
        <v>0</v>
      </c>
      <c r="Q131" s="12" t="s">
        <v>18</v>
      </c>
      <c r="R131" s="11">
        <f>IF(A126=4,C131*2*C135/12,0)</f>
        <v>0</v>
      </c>
      <c r="S131" s="9">
        <f>MROUND(R131*C132/12*1/27+0.4,1)</f>
        <v>0</v>
      </c>
      <c r="T131">
        <f t="shared" si="64"/>
        <v>2</v>
      </c>
      <c r="U131">
        <f t="shared" si="65"/>
        <v>2</v>
      </c>
      <c r="V131" s="22">
        <f>LOOKUP(A126,Reference!$A$2:$X$2,Reference!$A$29:$X$29)</f>
        <v>823</v>
      </c>
      <c r="W131" s="22">
        <f>IF(AND(A126=1,NOT(C138=424)),J137,0)+IF(A126=2,L145,0)+IF(A126=3,P139,0)+IF(A126=4,S140,0)</f>
        <v>1375</v>
      </c>
      <c r="X131" s="22" t="str">
        <f>LOOKUP(B126,Reference!$A$2:$X$2,Reference!$A$29:$X$29)</f>
        <v>C.Y.</v>
      </c>
      <c r="Y131" s="22" t="str">
        <f>LOOKUP(C126,Reference!$A$2:$X$2,Reference!$A$29:$X$29)</f>
        <v>Asphalt concrete surface course PG 64-22, Type 1 (823) applied, spread and compacted at the average depth of </v>
      </c>
      <c r="Z131" s="22">
        <f>IF(AND(A126=1,NOT(C138=424)),C137,0)+IF(A126=4,R140,0)</f>
        <v>1.5</v>
      </c>
      <c r="AA131" s="22" t="str">
        <f>LOOKUP(D126,Reference!$A$2:$X$2,Reference!$A$29:$X$29)</f>
        <v> inches</v>
      </c>
      <c r="AB131" s="22"/>
      <c r="AC131" s="22"/>
      <c r="AD131" s="22"/>
      <c r="AE131" s="1">
        <f t="shared" si="53"/>
        <v>823</v>
      </c>
      <c r="AF131" s="1">
        <f t="shared" si="54"/>
        <v>1375</v>
      </c>
      <c r="AG131" s="1" t="str">
        <f t="shared" si="55"/>
        <v>C.Y.</v>
      </c>
      <c r="AH131" s="1" t="str">
        <f t="shared" si="56"/>
        <v>Asphalt concrete surface course PG 64-22, Type 1 (823) applied, spread and compacted at the average depth of </v>
      </c>
      <c r="AI131" s="1">
        <f t="shared" si="57"/>
        <v>1.5</v>
      </c>
      <c r="AJ131" s="1" t="str">
        <f t="shared" si="58"/>
        <v> inches</v>
      </c>
      <c r="AK131" s="1">
        <f t="shared" si="59"/>
      </c>
      <c r="AL131" s="1">
        <f t="shared" si="60"/>
      </c>
      <c r="AM131" s="1">
        <f t="shared" si="61"/>
      </c>
      <c r="AN131" s="1"/>
      <c r="AO131" s="27">
        <f>LOOKUP(F126,Reference!A$2:X$2,Reference!$A$29:$X$29)</f>
        <v>150</v>
      </c>
      <c r="AP131" s="30">
        <v>185</v>
      </c>
      <c r="AQ131" s="27">
        <f t="shared" si="62"/>
        <v>185</v>
      </c>
      <c r="AR131" s="1" t="str">
        <f t="shared" si="63"/>
        <v>Asphalt concrete surface course PG 64-22, Type 1 (823) applied, spread and compacted at the average depth of 1.5 inches</v>
      </c>
    </row>
    <row r="132" spans="1:44" ht="12.75">
      <c r="A132" s="3" t="str">
        <f>LOOKUP(A126,Reference!$A$2:$X$2,Reference!A$8:X$8)</f>
        <v>Berm Depth</v>
      </c>
      <c r="B132" s="3"/>
      <c r="C132" s="5">
        <v>0</v>
      </c>
      <c r="D132" t="str">
        <f>LOOKUP(C126,Reference!$A$2:$X$2,Reference!A$8:X$8)</f>
        <v>inches</v>
      </c>
      <c r="H132" s="12"/>
      <c r="I132" s="11"/>
      <c r="J132" s="9"/>
      <c r="K132" s="11"/>
      <c r="N132" s="7"/>
      <c r="O132" s="11"/>
      <c r="P132" s="9"/>
      <c r="R132" s="11"/>
      <c r="S132" s="9"/>
      <c r="T132">
        <f t="shared" si="64"/>
        <v>2.00001</v>
      </c>
      <c r="U132">
        <f t="shared" si="65"/>
        <v>2</v>
      </c>
      <c r="V132" s="22">
        <f>LOOKUP(A126,Reference!$A$2:$X$2,Reference!$A$30:$X$30)</f>
        <v>407</v>
      </c>
      <c r="W132" s="22">
        <f>+IF(A126=2,M139,0)+IF(A126=3,P131,0)+IF(A126=4,S139,0)+IF(A126=1,J140,0)</f>
        <v>0</v>
      </c>
      <c r="X132" s="22" t="str">
        <f>LOOKUP(B126,Reference!$A$2:$X$2,Reference!$A$30:$X$30)</f>
        <v>Gal</v>
      </c>
      <c r="Y132" s="22" t="str">
        <f>LOOKUP(C126,Reference!$A$2:$X$2,Reference!$A$30:$X$30)</f>
        <v>Rubberized Latex Tack Coat (0.08 Gal./S.Y.)</v>
      </c>
      <c r="Z132" s="22">
        <f>IF(A126=2,C140,0)+IF(A126=3,C132,0)+IF(A126=4,R141,0)</f>
        <v>0</v>
      </c>
      <c r="AA132" s="22">
        <f>LOOKUP(D126,Reference!$A$2:$X$2,Reference!$A$30:$X$30)</f>
        <v>0</v>
      </c>
      <c r="AB132" s="22">
        <f>IF(A126=4,R139,0)</f>
        <v>0</v>
      </c>
      <c r="AC132" s="22"/>
      <c r="AD132" s="22">
        <f>LOOKUP(E126,Reference!$A$2:$X$2,Reference!$A$30:$X$30)</f>
        <v>0</v>
      </c>
      <c r="AE132" s="1">
        <f t="shared" si="53"/>
        <v>407</v>
      </c>
      <c r="AF132" s="1">
        <f t="shared" si="54"/>
      </c>
      <c r="AG132" s="1" t="str">
        <f t="shared" si="55"/>
        <v>Gal</v>
      </c>
      <c r="AH132" s="1" t="str">
        <f t="shared" si="56"/>
        <v>Rubberized Latex Tack Coat (0.08 Gal./S.Y.)</v>
      </c>
      <c r="AI132" s="1">
        <f t="shared" si="57"/>
      </c>
      <c r="AJ132" s="1">
        <f t="shared" si="58"/>
      </c>
      <c r="AK132" s="1">
        <f t="shared" si="59"/>
      </c>
      <c r="AL132" s="1">
        <f t="shared" si="60"/>
      </c>
      <c r="AM132" s="1">
        <f t="shared" si="61"/>
      </c>
      <c r="AN132" s="1"/>
      <c r="AO132" s="27">
        <f>LOOKUP(F126,Reference!A$2:X$2,Reference!$A$30:$X$30)</f>
        <v>3.5</v>
      </c>
      <c r="AP132" s="30"/>
      <c r="AQ132" s="27">
        <f t="shared" si="62"/>
        <v>3.5</v>
      </c>
      <c r="AR132" s="1" t="str">
        <f t="shared" si="63"/>
        <v>Rubberized Latex Tack Coat (0.08 Gal./S.Y.)</v>
      </c>
    </row>
    <row r="133" spans="1:44" ht="12.75">
      <c r="A133" s="3" t="str">
        <f>LOOKUP(A126,Reference!$A$2:$X$2,Reference!A$9:X$9)</f>
        <v>Pavement Planing</v>
      </c>
      <c r="B133" s="3"/>
      <c r="C133" s="5">
        <v>1010</v>
      </c>
      <c r="D133" s="5"/>
      <c r="E133" s="5"/>
      <c r="F133" s="5"/>
      <c r="G133" s="5"/>
      <c r="H133" s="7" t="s">
        <v>52</v>
      </c>
      <c r="I133" s="11">
        <f>IF(A126=1,C133,0)</f>
        <v>1010</v>
      </c>
      <c r="J133" s="9">
        <f>IF(A126=1,SUM(D133:G133),0)</f>
        <v>0</v>
      </c>
      <c r="K133" s="7" t="s">
        <v>52</v>
      </c>
      <c r="L133" s="11">
        <f>IF(A126=2,C133,0)</f>
        <v>0</v>
      </c>
      <c r="M133" s="11">
        <f>IF(A126=2,SUM(D133:G133),0)</f>
        <v>0</v>
      </c>
      <c r="N133" s="7"/>
      <c r="O133" s="11"/>
      <c r="P133" s="9"/>
      <c r="R133" s="11"/>
      <c r="S133" s="9"/>
      <c r="T133">
        <f t="shared" si="64"/>
        <v>2.00002</v>
      </c>
      <c r="U133">
        <f t="shared" si="65"/>
        <v>2</v>
      </c>
      <c r="V133" s="22">
        <f>LOOKUP(A126,Reference!$A$2:$X$2,Reference!$A$31:$X$31)</f>
        <v>424</v>
      </c>
      <c r="W133" s="22">
        <f>IF(A126=2,M142+M143,0)+IF(AND(C135&gt;0,A126=3),1,0)+IF(A126=4,S142,0)+IF(AND(A126=1,C138=424),J137,0)</f>
        <v>0</v>
      </c>
      <c r="X133" s="22" t="str">
        <f>LOOKUP(B126,Reference!$A$2:$X$2,Reference!$A$31:$X$31)</f>
        <v>C.Y.</v>
      </c>
      <c r="Y133" s="22" t="str">
        <f>LOOKUP(C126,Reference!$A$2:$X$2,Reference!$A$31:$X$31)</f>
        <v>Type B Smooth Seal Asphalt PG76-22, spread and compacted at the average depth of </v>
      </c>
      <c r="Z133" s="28">
        <f>IF(AND(A126=1,C138=424),C137,0)</f>
        <v>0</v>
      </c>
      <c r="AA133" s="22" t="str">
        <f>LOOKUP(D126,Reference!$A$2:$X$2,Reference!$A$31:$X$31)</f>
        <v> inches</v>
      </c>
      <c r="AB133" s="22"/>
      <c r="AC133" s="22"/>
      <c r="AD133" s="22"/>
      <c r="AE133" s="1">
        <f t="shared" si="53"/>
        <v>424</v>
      </c>
      <c r="AF133" s="1">
        <f t="shared" si="54"/>
      </c>
      <c r="AG133" s="1" t="str">
        <f t="shared" si="55"/>
        <v>C.Y.</v>
      </c>
      <c r="AH133" s="1" t="str">
        <f t="shared" si="56"/>
        <v>Type B Smooth Seal Asphalt PG76-22, spread and compacted at the average depth of </v>
      </c>
      <c r="AI133" s="1">
        <f t="shared" si="57"/>
      </c>
      <c r="AJ133" s="1" t="str">
        <f t="shared" si="58"/>
        <v> inches</v>
      </c>
      <c r="AK133" s="1">
        <f t="shared" si="59"/>
      </c>
      <c r="AL133" s="1">
        <f t="shared" si="60"/>
      </c>
      <c r="AM133" s="1">
        <f t="shared" si="61"/>
      </c>
      <c r="AN133" s="1"/>
      <c r="AO133" s="27">
        <f>LOOKUP(F126,Reference!A$2:X$2,Reference!$A$31:$X$31)</f>
        <v>210</v>
      </c>
      <c r="AP133" s="30"/>
      <c r="AQ133" s="27">
        <f t="shared" si="62"/>
        <v>210</v>
      </c>
      <c r="AR133" s="1" t="str">
        <f t="shared" si="63"/>
        <v>Type B Smooth Seal Asphalt PG76-22, spread and compacted at the average depth of  inches</v>
      </c>
    </row>
    <row r="134" spans="1:44" ht="12.75">
      <c r="A134" s="3" t="str">
        <f>LOOKUP(A126,Reference!$A$2:$X$2,Reference!A$10:X$10)</f>
        <v>Pavement Width</v>
      </c>
      <c r="B134" s="3"/>
      <c r="C134" s="5">
        <v>18.5</v>
      </c>
      <c r="D134" t="str">
        <f>LOOKUP(C126,Reference!$A$2:$X$2,Reference!A$10:X$10)</f>
        <v>feet</v>
      </c>
      <c r="H134" s="12" t="s">
        <v>48</v>
      </c>
      <c r="I134" s="11">
        <f>IF(A126=1,C134*C135,0)</f>
        <v>294705</v>
      </c>
      <c r="J134" s="9"/>
      <c r="K134" s="14" t="s">
        <v>53</v>
      </c>
      <c r="L134">
        <f>IF(A126=2,C134,0)</f>
        <v>0</v>
      </c>
      <c r="N134" s="17" t="s">
        <v>48</v>
      </c>
      <c r="O134" s="11">
        <f>IF(A126=3,C134*C135,0)</f>
        <v>0</v>
      </c>
      <c r="P134" s="9"/>
      <c r="Q134" s="17" t="s">
        <v>48</v>
      </c>
      <c r="R134" s="11">
        <f>IF(A126=4,C134*C135,0)</f>
        <v>0</v>
      </c>
      <c r="S134" s="9"/>
      <c r="T134">
        <f t="shared" si="64"/>
        <v>2.00003</v>
      </c>
      <c r="U134">
        <f t="shared" si="65"/>
        <v>2</v>
      </c>
      <c r="V134" s="22">
        <f>LOOKUP(A126,Reference!$A$2:$X$2,Reference!$A$32:$X$32)</f>
        <v>617</v>
      </c>
      <c r="W134" s="22">
        <f>IF(A126=2,M137,0)+IF(AND(C135&gt;0,A126=3),1,0)+IF(A126=4,S131,0)+IF(A126=1,J131,0)</f>
        <v>0</v>
      </c>
      <c r="X134" s="22" t="str">
        <f>LOOKUP(B126,Reference!$A$2:$X$2,Reference!$A$32:$X$32)</f>
        <v>C.Y.</v>
      </c>
      <c r="Y134" s="22" t="str">
        <f>LOOKUP(C126,Reference!$A$2:$X$2,Reference!$A$32:$X$32)</f>
        <v>Stabilized crushed aggregate berm in place and compacted at the average depth of </v>
      </c>
      <c r="Z134" s="22">
        <f>IF(A126=2,C137,0)+IF(A126=4,C132,0)+IF(A126=1,C132,0)</f>
        <v>0</v>
      </c>
      <c r="AA134" s="22" t="str">
        <f>LOOKUP(D126,Reference!$A$2:$X$2,Reference!$A$32:$X$32)</f>
        <v> inches</v>
      </c>
      <c r="AB134" s="22"/>
      <c r="AC134" s="22"/>
      <c r="AD134" s="22"/>
      <c r="AE134" s="1">
        <f t="shared" si="53"/>
        <v>617</v>
      </c>
      <c r="AF134" s="1">
        <f t="shared" si="54"/>
      </c>
      <c r="AG134" s="1" t="str">
        <f t="shared" si="55"/>
        <v>C.Y.</v>
      </c>
      <c r="AH134" s="1" t="str">
        <f t="shared" si="56"/>
        <v>Stabilized crushed aggregate berm in place and compacted at the average depth of </v>
      </c>
      <c r="AI134" s="1">
        <f t="shared" si="57"/>
      </c>
      <c r="AJ134" s="1" t="str">
        <f t="shared" si="58"/>
        <v> inches</v>
      </c>
      <c r="AK134" s="1">
        <f t="shared" si="59"/>
      </c>
      <c r="AL134" s="1">
        <f t="shared" si="60"/>
      </c>
      <c r="AM134" s="1">
        <f t="shared" si="61"/>
      </c>
      <c r="AN134" s="1"/>
      <c r="AO134" s="27">
        <f>LOOKUP(F126,Reference!A$2:X$2,Reference!$A$32:$X$32)</f>
        <v>58</v>
      </c>
      <c r="AP134" s="30"/>
      <c r="AQ134" s="27">
        <f t="shared" si="62"/>
        <v>58</v>
      </c>
      <c r="AR134" s="1" t="str">
        <f t="shared" si="63"/>
        <v>Stabilized crushed aggregate berm in place and compacted at the average depth of  inches</v>
      </c>
    </row>
    <row r="135" spans="1:44" ht="12.75">
      <c r="A135" s="3" t="str">
        <f>LOOKUP(A126,Reference!$A$2:$X$2,Reference!A$11:X$11)</f>
        <v>Pavement Length</v>
      </c>
      <c r="B135" s="3"/>
      <c r="C135" s="5">
        <v>15930</v>
      </c>
      <c r="D135" t="str">
        <f>LOOKUP(C126,Reference!$A$2:$X$2,Reference!A$11:X$11)</f>
        <v>feet</v>
      </c>
      <c r="H135" s="12" t="s">
        <v>46</v>
      </c>
      <c r="I135" s="11">
        <f>IF(A126=1,I134+I130+I129,0)</f>
        <v>296865</v>
      </c>
      <c r="J135" s="9"/>
      <c r="K135" s="12" t="s">
        <v>48</v>
      </c>
      <c r="L135">
        <f>IF(A126=2,C135*C136,0)</f>
        <v>0</v>
      </c>
      <c r="N135" s="17" t="s">
        <v>46</v>
      </c>
      <c r="O135" s="11">
        <f>O134+O129+O130</f>
        <v>0</v>
      </c>
      <c r="P135" s="9"/>
      <c r="Q135" s="17" t="s">
        <v>46</v>
      </c>
      <c r="R135" s="11">
        <f>R134+R129+R130</f>
        <v>0</v>
      </c>
      <c r="S135" s="9"/>
      <c r="T135">
        <f t="shared" si="64"/>
        <v>3</v>
      </c>
      <c r="U135">
        <f t="shared" si="65"/>
        <v>3</v>
      </c>
      <c r="V135" s="22">
        <f>LOOKUP(A126,Reference!$A$2:$X$2,Reference!$A$33:$X$33)</f>
        <v>254</v>
      </c>
      <c r="W135" s="22">
        <f>IF(AND(A126=2,NOT(C144=424)),M138,0)+IF(AND(C135&gt;0,A126=3),1,0)+IF(AND(C135&gt;0,A126=4),1,0)+IF(A126=1,I133,0)</f>
        <v>1010</v>
      </c>
      <c r="X135" s="22" t="str">
        <f>LOOKUP(B126,Reference!$A$2:$X$2,Reference!$A$33:$X$33)</f>
        <v>S.Y.</v>
      </c>
      <c r="Y135" s="22" t="str">
        <f>LOOKUP(C126,Reference!$A$2:$X$2,Reference!$A$33:$X$33)</f>
        <v>Pavement Planing</v>
      </c>
      <c r="Z135" s="22">
        <f>IF(AND(A126=2,NOT(C144=424)),C138,0)+IF(A126=1,J133,0)</f>
        <v>0</v>
      </c>
      <c r="AA135" s="22" t="str">
        <f>LOOKUP(D126,Reference!$A$2:$X$2,Reference!$A$33:$X$33)</f>
        <v> (20' length including radius)</v>
      </c>
      <c r="AB135" s="22"/>
      <c r="AC135" s="22"/>
      <c r="AD135" s="22"/>
      <c r="AE135" s="1">
        <f t="shared" si="53"/>
        <v>254</v>
      </c>
      <c r="AF135" s="1">
        <f t="shared" si="54"/>
        <v>1010</v>
      </c>
      <c r="AG135" s="1" t="str">
        <f t="shared" si="55"/>
        <v>S.Y.</v>
      </c>
      <c r="AH135" s="1" t="str">
        <f t="shared" si="56"/>
        <v>Pavement Planing</v>
      </c>
      <c r="AI135" s="1">
        <f t="shared" si="57"/>
      </c>
      <c r="AJ135" s="1" t="str">
        <f t="shared" si="58"/>
        <v> (20' length including radius)</v>
      </c>
      <c r="AK135" s="1">
        <f t="shared" si="59"/>
      </c>
      <c r="AL135" s="1">
        <f t="shared" si="60"/>
      </c>
      <c r="AM135" s="1">
        <f t="shared" si="61"/>
      </c>
      <c r="AN135" s="1"/>
      <c r="AO135" s="27">
        <f>LOOKUP(F126,Reference!A$2:X$2,Reference!$A$33:$X$33)</f>
        <v>15</v>
      </c>
      <c r="AP135" s="30">
        <v>12</v>
      </c>
      <c r="AQ135" s="27">
        <f t="shared" si="62"/>
        <v>12</v>
      </c>
      <c r="AR135" s="1" t="str">
        <f t="shared" si="63"/>
        <v>Pavement Planing (20' length including radius)</v>
      </c>
    </row>
    <row r="136" spans="1:44" ht="12.75">
      <c r="A136" s="3" t="str">
        <f>LOOKUP(A126,Reference!$A$2:$X$2,Reference!A$12:X$12)</f>
        <v>Intermediate Course</v>
      </c>
      <c r="B136" s="3"/>
      <c r="C136" s="5">
        <v>0</v>
      </c>
      <c r="D136" t="str">
        <f>LOOKUP(C126,Reference!$A$2:$X$2,Reference!A$12:X$12)</f>
        <v>inches</v>
      </c>
      <c r="H136" s="7"/>
      <c r="I136" s="11"/>
      <c r="J136" s="13">
        <f>MROUND(I135*C136/12*1/27+0.4,1)</f>
        <v>0</v>
      </c>
      <c r="K136" s="12" t="s">
        <v>46</v>
      </c>
      <c r="L136">
        <f>IF(A126=2,L129+L130+L134+L135,0)</f>
        <v>0</v>
      </c>
      <c r="N136" s="18" t="s">
        <v>70</v>
      </c>
      <c r="O136" s="8">
        <f>IF(A126=3,C136,0)</f>
        <v>0</v>
      </c>
      <c r="P136" s="9">
        <f>MROUND(O135/9*O136/2400+2,5)</f>
        <v>0</v>
      </c>
      <c r="Q136" s="18" t="s">
        <v>77</v>
      </c>
      <c r="R136" s="8">
        <f>IF(A126=4,C136,0)</f>
        <v>0</v>
      </c>
      <c r="S136" s="9">
        <f>MROUND(R135/9*R136/2400+2,5)</f>
        <v>0</v>
      </c>
      <c r="T136">
        <f t="shared" si="64"/>
        <v>4</v>
      </c>
      <c r="U136">
        <f t="shared" si="65"/>
        <v>4</v>
      </c>
      <c r="V136" s="22">
        <f>LOOKUP(A126,Reference!$A$2:$X$2,Reference!$A$34:$X$34)</f>
        <v>614</v>
      </c>
      <c r="W136" s="22">
        <f>IF(AND(C135&gt;0,A126=1),1,0)+IF(AND(C135&gt;0,A126=4),1,0)+IF(A126=2,M144,0)</f>
        <v>1</v>
      </c>
      <c r="X136" s="22" t="str">
        <f>LOOKUP(B126,Reference!$A$2:$X$2,Reference!$A$34:$X$34)</f>
        <v>L.S.</v>
      </c>
      <c r="Y136" s="22" t="str">
        <f>LOOKUP(C126,Reference!$A$2:$X$2,Reference!$A$34:$X$34)</f>
        <v>Maintaining Traffic</v>
      </c>
      <c r="Z136" s="22"/>
      <c r="AA136" s="22">
        <f>LOOKUP(D126,Reference!$A$2:$X$2,Reference!$A$34:$X$34)</f>
        <v>0</v>
      </c>
      <c r="AB136" s="22"/>
      <c r="AC136" s="22"/>
      <c r="AD136" s="22"/>
      <c r="AE136" s="1">
        <f t="shared" si="53"/>
        <v>614</v>
      </c>
      <c r="AF136" s="1">
        <f t="shared" si="54"/>
        <v>1</v>
      </c>
      <c r="AG136" s="1" t="str">
        <f t="shared" si="55"/>
        <v>L.S.</v>
      </c>
      <c r="AH136" s="1" t="str">
        <f t="shared" si="56"/>
        <v>Maintaining Traffic</v>
      </c>
      <c r="AI136" s="1">
        <f t="shared" si="57"/>
      </c>
      <c r="AJ136" s="1">
        <f t="shared" si="58"/>
      </c>
      <c r="AK136" s="1">
        <f t="shared" si="59"/>
      </c>
      <c r="AL136" s="1">
        <f t="shared" si="60"/>
      </c>
      <c r="AM136" s="1">
        <f t="shared" si="61"/>
      </c>
      <c r="AN136" s="1"/>
      <c r="AO136" s="27">
        <f>LOOKUP(F126,Reference!A$2:X$2,Reference!$A$34:$X$34)</f>
        <v>2000</v>
      </c>
      <c r="AP136" s="30">
        <v>3000</v>
      </c>
      <c r="AQ136" s="27">
        <f t="shared" si="62"/>
        <v>3000</v>
      </c>
      <c r="AR136" s="1" t="str">
        <f t="shared" si="63"/>
        <v>Maintaining Traffic</v>
      </c>
    </row>
    <row r="137" spans="1:44" ht="12.75">
      <c r="A137" s="3" t="str">
        <f>LOOKUP(A126,Reference!$A$2:$X$2,Reference!A$13:X$13)</f>
        <v>Surface Course</v>
      </c>
      <c r="B137" s="3"/>
      <c r="C137" s="5">
        <v>1.5</v>
      </c>
      <c r="D137" t="str">
        <f>LOOKUP(C126,Reference!$A$2:$X$2,Reference!A$13:X$13)</f>
        <v>inches</v>
      </c>
      <c r="H137" s="7"/>
      <c r="I137" s="11"/>
      <c r="J137" s="13">
        <f>MROUND(I135*C137/12*1/27+0.4,1)</f>
        <v>1375</v>
      </c>
      <c r="K137" s="3" t="s">
        <v>54</v>
      </c>
      <c r="M137">
        <f>MROUND(L136*C137/12*1/27,1)</f>
        <v>0</v>
      </c>
      <c r="N137" s="18" t="s">
        <v>64</v>
      </c>
      <c r="O137" s="11">
        <f>IF(A126=3,C137,0)</f>
        <v>0</v>
      </c>
      <c r="P137" s="9">
        <f>MROUND(O137*O135/9+2.4,5)</f>
        <v>0</v>
      </c>
      <c r="Q137" s="18" t="s">
        <v>78</v>
      </c>
      <c r="R137" s="11">
        <f>IF(A126=4,C137,0)</f>
        <v>0</v>
      </c>
      <c r="S137" s="9">
        <f>MROUND(R137*R135/9+2.4,5)</f>
        <v>0</v>
      </c>
      <c r="T137">
        <f t="shared" si="64"/>
        <v>5</v>
      </c>
      <c r="U137">
        <f t="shared" si="65"/>
        <v>5</v>
      </c>
      <c r="V137" s="22">
        <f>LOOKUP(A126,Reference!$A$2:$X$2,Reference!$A$35:$X$35)</f>
        <v>624</v>
      </c>
      <c r="W137" s="22">
        <f>IF(AND(C135&gt;0,A126=1),1,0)+IF(AND(C135&gt;0,A126=4),1,0)+IF(AND(A126=2,C144=424),M138,0)</f>
        <v>1</v>
      </c>
      <c r="X137" s="22" t="str">
        <f>LOOKUP(B126,Reference!$A$2:$X$2,Reference!$A$35:$X$35)</f>
        <v>L.S.</v>
      </c>
      <c r="Y137" s="22" t="str">
        <f>LOOKUP(C126,Reference!$A$2:$X$2,Reference!$A$35:$X$35)</f>
        <v>Mobilization</v>
      </c>
      <c r="Z137" s="22">
        <f>IF(AND(A126=2,C144=424),C138,0)</f>
        <v>0</v>
      </c>
      <c r="AA137" s="22">
        <f>LOOKUP(D126,Reference!$A$2:$X$2,Reference!$A$35:$X$35)</f>
        <v>0</v>
      </c>
      <c r="AB137" s="22"/>
      <c r="AC137" s="22"/>
      <c r="AD137" s="22"/>
      <c r="AE137" s="1">
        <f t="shared" si="53"/>
        <v>624</v>
      </c>
      <c r="AF137" s="1">
        <f t="shared" si="54"/>
        <v>1</v>
      </c>
      <c r="AG137" s="1" t="str">
        <f t="shared" si="55"/>
        <v>L.S.</v>
      </c>
      <c r="AH137" s="1" t="str">
        <f t="shared" si="56"/>
        <v>Mobilization</v>
      </c>
      <c r="AI137" s="1">
        <f t="shared" si="57"/>
      </c>
      <c r="AJ137" s="1">
        <f t="shared" si="58"/>
      </c>
      <c r="AK137" s="1">
        <f t="shared" si="59"/>
      </c>
      <c r="AL137" s="1">
        <f t="shared" si="60"/>
      </c>
      <c r="AM137" s="1">
        <f t="shared" si="61"/>
      </c>
      <c r="AN137" s="1"/>
      <c r="AO137" s="27">
        <f>LOOKUP(F126,Reference!A$2:X$2,Reference!$A$35:$X$35)</f>
        <v>3000</v>
      </c>
      <c r="AP137" s="30">
        <v>1500</v>
      </c>
      <c r="AQ137" s="27">
        <f t="shared" si="62"/>
        <v>1500</v>
      </c>
      <c r="AR137" s="1" t="str">
        <f t="shared" si="63"/>
        <v>Mobilization</v>
      </c>
    </row>
    <row r="138" spans="1:44" ht="12.75">
      <c r="A138" s="3" t="str">
        <f>LOOKUP(A126,Reference!$A$2:$X$2,Reference!A$14:X$14)</f>
        <v>Type of Surface </v>
      </c>
      <c r="B138" s="3"/>
      <c r="C138" s="5">
        <v>823</v>
      </c>
      <c r="D138" t="str">
        <f>LOOKUP(C126,Reference!$A$2:$X$2,Reference!A$14:X$14)</f>
        <v>(424, 823, 448)</v>
      </c>
      <c r="H138" s="12" t="s">
        <v>88</v>
      </c>
      <c r="I138" s="11">
        <v>0.05</v>
      </c>
      <c r="J138" s="9">
        <f>MROUND(I138*I135/9,5)</f>
        <v>1650</v>
      </c>
      <c r="K138" s="8" t="s">
        <v>55</v>
      </c>
      <c r="M138">
        <f>MROUND(L136*C138/12*1/27,1)</f>
        <v>0</v>
      </c>
      <c r="N138" s="12" t="s">
        <v>69</v>
      </c>
      <c r="O138" s="11">
        <f>IF(A126=3,C138,0)</f>
        <v>0</v>
      </c>
      <c r="P138" s="9"/>
      <c r="Q138" s="12" t="s">
        <v>79</v>
      </c>
      <c r="R138" s="11">
        <f>IF(A126=4,C138,0)</f>
        <v>0</v>
      </c>
      <c r="S138" s="9"/>
      <c r="T138">
        <f t="shared" si="64"/>
        <v>6</v>
      </c>
      <c r="U138">
        <f t="shared" si="65"/>
        <v>6</v>
      </c>
      <c r="V138" s="22">
        <f>LOOKUP(A126,Reference!$A$2:$X$2,Reference!$A$36:$X$36)</f>
        <v>103.05</v>
      </c>
      <c r="W138" s="22">
        <f>+IF(A126=2,M131,0)+IF(AND(C135&gt;0,A126=1),1,0)</f>
        <v>1</v>
      </c>
      <c r="X138" s="22" t="str">
        <f>LOOKUP(B126,Reference!$A$2:$X$2,Reference!$A$36:$X$36)</f>
        <v>L.S.</v>
      </c>
      <c r="Y138" s="22" t="str">
        <f>LOOKUP(C126,Reference!$A$2:$X$2,Reference!$A$36:$X$36)</f>
        <v>Contract Performance &amp; Payment Bond</v>
      </c>
      <c r="Z138" s="22">
        <f>IF(A126=2,C132,0)</f>
        <v>0</v>
      </c>
      <c r="AA138" s="22">
        <f>LOOKUP(D126,Reference!$A$2:$X$2,Reference!$A$36:$X$36)</f>
        <v>0</v>
      </c>
      <c r="AB138" s="22"/>
      <c r="AC138" s="22"/>
      <c r="AD138" s="22"/>
      <c r="AE138" s="1">
        <f t="shared" si="53"/>
        <v>103.05</v>
      </c>
      <c r="AF138" s="1">
        <f t="shared" si="54"/>
        <v>1</v>
      </c>
      <c r="AG138" s="1" t="str">
        <f t="shared" si="55"/>
        <v>L.S.</v>
      </c>
      <c r="AH138" s="1" t="str">
        <f t="shared" si="56"/>
        <v>Contract Performance &amp; Payment Bond</v>
      </c>
      <c r="AI138" s="1">
        <f t="shared" si="57"/>
      </c>
      <c r="AJ138" s="1">
        <f t="shared" si="58"/>
      </c>
      <c r="AK138" s="1">
        <f t="shared" si="59"/>
      </c>
      <c r="AL138" s="1">
        <f t="shared" si="60"/>
      </c>
      <c r="AM138" s="1">
        <f t="shared" si="61"/>
      </c>
      <c r="AN138" s="1"/>
      <c r="AO138" s="27">
        <f>LOOKUP(F126,Reference!A$2:X$2,Reference!$A$36:$X$36)</f>
        <v>1000</v>
      </c>
      <c r="AP138" s="30">
        <v>1275</v>
      </c>
      <c r="AQ138" s="27">
        <f t="shared" si="62"/>
        <v>1275</v>
      </c>
      <c r="AR138" s="1" t="str">
        <f t="shared" si="63"/>
        <v>Contract Performance &amp; Payment Bond</v>
      </c>
    </row>
    <row r="139" spans="1:44" ht="12.75">
      <c r="A139" s="3">
        <f>LOOKUP(A126,Reference!$A$2:$X$2,Reference!A$15:X$15)</f>
        <v>0</v>
      </c>
      <c r="B139" s="3"/>
      <c r="C139" s="5">
        <v>0</v>
      </c>
      <c r="D139">
        <f>LOOKUP(C126,Reference!$A$2:$X$2,Reference!A$15:X$15)</f>
        <v>0</v>
      </c>
      <c r="H139" s="12" t="s">
        <v>89</v>
      </c>
      <c r="I139" s="11">
        <f>IF(C136&gt;0.1,0.05,0)</f>
        <v>0</v>
      </c>
      <c r="J139" s="9">
        <f>IF(AND(A126=1,NOT(C138=424)),MROUND(I139*I135/9,5),0)</f>
        <v>0</v>
      </c>
      <c r="K139" s="15" t="s">
        <v>57</v>
      </c>
      <c r="L139">
        <f>IF(A126=2,C136*C139,0)</f>
        <v>0</v>
      </c>
      <c r="M139">
        <f>MROUND(L139*C140/12*1/27,1)</f>
        <v>0</v>
      </c>
      <c r="N139" s="12" t="s">
        <v>59</v>
      </c>
      <c r="O139" s="11">
        <f>IF(A126=3,C139,0)</f>
        <v>0</v>
      </c>
      <c r="P139" s="9">
        <f>MROUND(O139*O135/9+2.4,5)</f>
        <v>0</v>
      </c>
      <c r="Q139" s="18" t="s">
        <v>80</v>
      </c>
      <c r="R139" s="8">
        <f>IF(A126=4,C139,0)</f>
        <v>0</v>
      </c>
      <c r="S139" s="9">
        <f>MROUND(R135/9*R139/2400+2,5)</f>
        <v>0</v>
      </c>
      <c r="T139">
        <f t="shared" si="64"/>
        <v>6.00001</v>
      </c>
      <c r="U139">
        <f t="shared" si="65"/>
        <v>6</v>
      </c>
      <c r="V139" s="22">
        <f>LOOKUP(A126,Reference!$A$2:$X$2,Reference!$A$37:$X$37)</f>
        <v>0</v>
      </c>
      <c r="W139" s="22">
        <f>IF(A126=2,L133,0)</f>
        <v>0</v>
      </c>
      <c r="X139" s="22">
        <f>LOOKUP(B126,Reference!$A$2:$X$2,Reference!$A$37:$X$37)</f>
        <v>0</v>
      </c>
      <c r="Y139" s="22">
        <f>LOOKUP(C126,Reference!$A$2:$X$2,Reference!$A$37:$X$37)</f>
        <v>0</v>
      </c>
      <c r="Z139" s="22">
        <f>IF(A126=2,M133,0)</f>
        <v>0</v>
      </c>
      <c r="AA139" s="22">
        <f>LOOKUP(D126,Reference!$A$2:$X$2,Reference!$A$37:$X$37)</f>
        <v>0</v>
      </c>
      <c r="AB139" s="22"/>
      <c r="AC139" s="22"/>
      <c r="AD139" s="22"/>
      <c r="AE139" s="1">
        <f t="shared" si="53"/>
      </c>
      <c r="AF139" s="1">
        <f t="shared" si="54"/>
      </c>
      <c r="AG139" s="1">
        <f t="shared" si="55"/>
      </c>
      <c r="AH139" s="1">
        <f t="shared" si="56"/>
      </c>
      <c r="AI139" s="1">
        <f t="shared" si="57"/>
      </c>
      <c r="AJ139" s="1">
        <f t="shared" si="58"/>
      </c>
      <c r="AK139" s="1">
        <f t="shared" si="59"/>
      </c>
      <c r="AL139" s="1">
        <f t="shared" si="60"/>
      </c>
      <c r="AM139" s="1">
        <f t="shared" si="61"/>
      </c>
      <c r="AN139" s="1"/>
      <c r="AO139" s="27">
        <f>LOOKUP(F126,Reference!A$2:X$2,Reference!$A$37:$X$37)</f>
        <v>0</v>
      </c>
      <c r="AP139" s="30"/>
      <c r="AQ139" s="27">
        <f t="shared" si="62"/>
        <v>0</v>
      </c>
      <c r="AR139" s="1">
        <f t="shared" si="63"/>
      </c>
    </row>
    <row r="140" spans="1:44" ht="12.75">
      <c r="A140" s="3">
        <f>LOOKUP(A126,Reference!$A$2:$X$2,Reference!A$16:X$16)</f>
        <v>0</v>
      </c>
      <c r="B140" s="3"/>
      <c r="C140" s="5">
        <v>0</v>
      </c>
      <c r="D140">
        <f>LOOKUP(C126,Reference!$A$2:$X$2,Reference!A$16:X$16)</f>
        <v>0</v>
      </c>
      <c r="H140" s="16" t="s">
        <v>132</v>
      </c>
      <c r="I140" s="11">
        <v>0.05</v>
      </c>
      <c r="J140" s="9">
        <f>IF(AND(A126=1,C138=424),MROUND(I140*I135/9,5),0)</f>
        <v>0</v>
      </c>
      <c r="K140" s="15" t="s">
        <v>96</v>
      </c>
      <c r="L140">
        <f>IF(A126=2,C141,0)</f>
        <v>0</v>
      </c>
      <c r="N140" s="7"/>
      <c r="O140" s="11"/>
      <c r="P140" s="9"/>
      <c r="Q140" s="18" t="s">
        <v>81</v>
      </c>
      <c r="R140" s="11">
        <f>IF(A126=4,C140,0)</f>
        <v>0</v>
      </c>
      <c r="S140" s="9">
        <f>MROUND(R140*R135/9+2.4,5)</f>
        <v>0</v>
      </c>
      <c r="T140">
        <f t="shared" si="64"/>
        <v>6.000019999999999</v>
      </c>
      <c r="U140">
        <f t="shared" si="65"/>
        <v>6</v>
      </c>
      <c r="V140" s="22">
        <f>LOOKUP(A126,Reference!$A$2:$X$2,Reference!$A$38:$X$38)</f>
        <v>0</v>
      </c>
      <c r="W140" s="22">
        <f>IF(AND(C136&gt;0,A126=2),1,0)</f>
        <v>0</v>
      </c>
      <c r="X140" s="22">
        <f>LOOKUP(B126,Reference!$A$2:$X$2,Reference!$A$38:$X$38)</f>
        <v>0</v>
      </c>
      <c r="Y140" s="22">
        <f>LOOKUP(C126,Reference!$A$2:$X$2,Reference!$A$38:$X$38)</f>
        <v>0</v>
      </c>
      <c r="Z140" s="22"/>
      <c r="AA140" s="22">
        <f>LOOKUP(D126,Reference!$A$2:$X$2,Reference!$A$38:$X$38)</f>
        <v>0</v>
      </c>
      <c r="AB140" s="22"/>
      <c r="AC140" s="22"/>
      <c r="AD140" s="22"/>
      <c r="AE140" s="1">
        <f t="shared" si="53"/>
      </c>
      <c r="AF140" s="1">
        <f t="shared" si="54"/>
      </c>
      <c r="AG140" s="1">
        <f t="shared" si="55"/>
      </c>
      <c r="AH140" s="1">
        <f t="shared" si="56"/>
      </c>
      <c r="AI140" s="1">
        <f t="shared" si="57"/>
      </c>
      <c r="AJ140" s="1">
        <f t="shared" si="58"/>
      </c>
      <c r="AK140" s="1">
        <f t="shared" si="59"/>
      </c>
      <c r="AL140" s="1">
        <f t="shared" si="60"/>
      </c>
      <c r="AM140" s="1">
        <f t="shared" si="61"/>
      </c>
      <c r="AN140" s="1"/>
      <c r="AO140" s="27">
        <f>LOOKUP(F126,Reference!A$2:X$2,Reference!$A$38:$X$38)</f>
        <v>0</v>
      </c>
      <c r="AP140" s="30"/>
      <c r="AQ140" s="27">
        <f t="shared" si="62"/>
        <v>0</v>
      </c>
      <c r="AR140" s="1">
        <f t="shared" si="63"/>
      </c>
    </row>
    <row r="141" spans="1:44" ht="12.75">
      <c r="A141" s="3">
        <f>LOOKUP(A126,Reference!$A$2:$X$2,Reference!A$17:X$17)</f>
        <v>0</v>
      </c>
      <c r="B141" s="3"/>
      <c r="C141" s="4">
        <v>0</v>
      </c>
      <c r="D141">
        <f>LOOKUP(C126,Reference!$A$2:$X$2,Reference!A$17:X$17)</f>
        <v>0</v>
      </c>
      <c r="H141" s="12" t="s">
        <v>116</v>
      </c>
      <c r="I141" s="11">
        <f>IF(A126=1,C135,0)</f>
        <v>15930</v>
      </c>
      <c r="J141" s="9"/>
      <c r="K141" s="15" t="s">
        <v>91</v>
      </c>
      <c r="L141">
        <f>IF(A126=2,C142,0)</f>
        <v>0</v>
      </c>
      <c r="N141" s="12" t="s">
        <v>116</v>
      </c>
      <c r="O141" s="11">
        <f>IF(A126=3,C135,0)</f>
        <v>0</v>
      </c>
      <c r="P141" s="9"/>
      <c r="Q141" s="12" t="s">
        <v>82</v>
      </c>
      <c r="R141" s="11">
        <f>IF(A126=4,C141,0)</f>
        <v>0</v>
      </c>
      <c r="S141" s="9"/>
      <c r="T141">
        <f t="shared" si="64"/>
        <v>6.000029999999999</v>
      </c>
      <c r="U141">
        <f t="shared" si="65"/>
        <v>6</v>
      </c>
      <c r="V141" s="22">
        <f>LOOKUP(A126,Reference!$A$2:$X$2,Reference!$A$39:$X$39)</f>
        <v>0</v>
      </c>
      <c r="W141" s="22">
        <f>IF(AND(C136&gt;0,A126=2),1,0)</f>
        <v>0</v>
      </c>
      <c r="X141" s="22">
        <f>LOOKUP(B126,Reference!$A$2:$X$2,Reference!$A$39:$X$39)</f>
        <v>0</v>
      </c>
      <c r="Y141" s="22">
        <f>LOOKUP(C126,Reference!$A$2:$X$2,Reference!$A$39:$X$39)</f>
        <v>0</v>
      </c>
      <c r="Z141" s="22"/>
      <c r="AA141" s="22">
        <f>LOOKUP(D126,Reference!$A$2:$X$2,Reference!$A$39:$X$39)</f>
        <v>0</v>
      </c>
      <c r="AB141" s="22"/>
      <c r="AC141" s="22"/>
      <c r="AD141" s="22"/>
      <c r="AE141" s="1">
        <f t="shared" si="53"/>
      </c>
      <c r="AF141" s="1">
        <f t="shared" si="54"/>
      </c>
      <c r="AG141" s="1">
        <f t="shared" si="55"/>
      </c>
      <c r="AH141" s="1">
        <f t="shared" si="56"/>
      </c>
      <c r="AI141" s="1">
        <f t="shared" si="57"/>
      </c>
      <c r="AJ141" s="1">
        <f t="shared" si="58"/>
      </c>
      <c r="AK141" s="1">
        <f t="shared" si="59"/>
      </c>
      <c r="AL141" s="1">
        <f t="shared" si="60"/>
      </c>
      <c r="AM141" s="1">
        <f t="shared" si="61"/>
      </c>
      <c r="AN141" s="1"/>
      <c r="AO141" s="27">
        <f>LOOKUP(F126,Reference!A$2:X$2,Reference!$A$39:$X$39)</f>
        <v>0</v>
      </c>
      <c r="AP141" s="30"/>
      <c r="AQ141" s="27">
        <f t="shared" si="62"/>
        <v>0</v>
      </c>
      <c r="AR141" s="1">
        <f t="shared" si="63"/>
      </c>
    </row>
    <row r="142" spans="1:44" ht="12.75">
      <c r="A142" s="3">
        <f>LOOKUP(A126,Reference!$A$2:$X$2,Reference!A$18:O$18)</f>
        <v>0</v>
      </c>
      <c r="B142" s="3"/>
      <c r="C142" s="5">
        <v>0</v>
      </c>
      <c r="D142">
        <f>LOOKUP(C126,Reference!$A$2:$X$2,Reference!A$18:X$18)</f>
        <v>0</v>
      </c>
      <c r="H142" s="12" t="s">
        <v>117</v>
      </c>
      <c r="I142" s="11">
        <f>IF(A126=1,C134,0)</f>
        <v>18.5</v>
      </c>
      <c r="J142" s="9"/>
      <c r="K142" s="16" t="s">
        <v>88</v>
      </c>
      <c r="L142">
        <v>0.05</v>
      </c>
      <c r="M142">
        <f>MROUND(L142*L136/9,5)</f>
        <v>0</v>
      </c>
      <c r="N142" s="12" t="s">
        <v>117</v>
      </c>
      <c r="O142" s="11">
        <f>IF(A126=3,C134,0)</f>
        <v>0</v>
      </c>
      <c r="P142" s="9"/>
      <c r="Q142" s="12" t="s">
        <v>59</v>
      </c>
      <c r="R142" s="11">
        <f>IF(A126=4,C142,0)</f>
        <v>0</v>
      </c>
      <c r="S142" s="9">
        <f>MROUND(R142*R135/9+2.4,5)</f>
        <v>0</v>
      </c>
      <c r="T142">
        <f t="shared" si="64"/>
        <v>6.0000399999999985</v>
      </c>
      <c r="U142">
        <f t="shared" si="65"/>
        <v>6</v>
      </c>
      <c r="V142" s="22">
        <f>LOOKUP(A126,Reference!$A$2:$X$2,Reference!$A$40:$X$40)</f>
        <v>0</v>
      </c>
      <c r="W142" s="22">
        <f>IF(AND(C136&gt;0,A126=2),1,0)</f>
        <v>0</v>
      </c>
      <c r="X142" s="22">
        <f>LOOKUP(B126,Reference!$A$2:$X$2,Reference!$A$40:$X$40)</f>
        <v>0</v>
      </c>
      <c r="Y142" s="22">
        <f>LOOKUP(C126,Reference!$A$2:$X$2,Reference!$A$40:$X$40)</f>
        <v>0</v>
      </c>
      <c r="Z142" s="22"/>
      <c r="AA142" s="22">
        <f>LOOKUP(D126,Reference!$A$2:$X$2,Reference!$A$40:$X$40)</f>
        <v>0</v>
      </c>
      <c r="AB142" s="22"/>
      <c r="AC142" s="22"/>
      <c r="AD142" s="22"/>
      <c r="AE142" s="1">
        <f t="shared" si="53"/>
      </c>
      <c r="AF142" s="1">
        <f t="shared" si="54"/>
      </c>
      <c r="AG142" s="1">
        <f t="shared" si="55"/>
      </c>
      <c r="AH142" s="1">
        <f t="shared" si="56"/>
      </c>
      <c r="AI142" s="1">
        <f t="shared" si="57"/>
      </c>
      <c r="AJ142" s="1">
        <f t="shared" si="58"/>
      </c>
      <c r="AK142" s="1">
        <f t="shared" si="59"/>
      </c>
      <c r="AL142" s="1">
        <f t="shared" si="60"/>
      </c>
      <c r="AM142" s="1">
        <f t="shared" si="61"/>
      </c>
      <c r="AN142" s="1"/>
      <c r="AO142" s="27">
        <f>LOOKUP(F126,Reference!A$2:X$2,Reference!$A$40:$X$40)</f>
        <v>0</v>
      </c>
      <c r="AP142" s="30"/>
      <c r="AQ142" s="27">
        <f t="shared" si="62"/>
        <v>0</v>
      </c>
      <c r="AR142" s="1">
        <f t="shared" si="63"/>
      </c>
    </row>
    <row r="143" spans="1:44" ht="12.75">
      <c r="A143" s="3">
        <f>LOOKUP(A126,Reference!$A$2:$X$2,Reference!A$19:O$19)</f>
        <v>0</v>
      </c>
      <c r="B143" s="3"/>
      <c r="C143" s="4"/>
      <c r="D143">
        <f>LOOKUP(C126,Reference!$A$2:$X$2,Reference!A$19:X$19)</f>
        <v>0</v>
      </c>
      <c r="H143" s="7"/>
      <c r="I143" s="11"/>
      <c r="J143" s="9"/>
      <c r="K143" s="16" t="s">
        <v>89</v>
      </c>
      <c r="L143">
        <f>IF(C137&gt;0.1,0.05,0)</f>
        <v>0.05</v>
      </c>
      <c r="M143">
        <f>IF(NOT(C144=424),MROUND(L143*L136/9,5),0)</f>
        <v>0</v>
      </c>
      <c r="N143" s="7"/>
      <c r="O143" s="11"/>
      <c r="P143" s="9"/>
      <c r="R143" s="11"/>
      <c r="S143" s="9"/>
      <c r="T143">
        <f t="shared" si="64"/>
        <v>6.000049999999998</v>
      </c>
      <c r="U143">
        <f t="shared" si="65"/>
        <v>6</v>
      </c>
      <c r="V143" s="22">
        <f>LOOKUP(A126,Reference!$A$2:$X$2,Reference!$A$41:$X$41)</f>
        <v>0</v>
      </c>
      <c r="W143" s="22"/>
      <c r="X143" s="22">
        <f>LOOKUP(B126,Reference!$A$2:$X$2,Reference!$A$41:$X$41)</f>
        <v>0</v>
      </c>
      <c r="Y143" s="22">
        <f>LOOKUP(C126,Reference!$A$2:$X$2,Reference!$A$41:$X$41)</f>
        <v>0</v>
      </c>
      <c r="Z143" s="22"/>
      <c r="AA143" s="22">
        <f>LOOKUP(D126,Reference!$A$2:$X$2,Reference!$A$41:$X$41)</f>
        <v>0</v>
      </c>
      <c r="AB143" s="22"/>
      <c r="AC143" s="22"/>
      <c r="AD143" s="22"/>
      <c r="AE143" s="1">
        <f t="shared" si="53"/>
      </c>
      <c r="AF143" s="1">
        <f t="shared" si="54"/>
      </c>
      <c r="AG143" s="1">
        <f t="shared" si="55"/>
      </c>
      <c r="AH143" s="1">
        <f t="shared" si="56"/>
      </c>
      <c r="AI143" s="1">
        <f t="shared" si="57"/>
      </c>
      <c r="AJ143" s="1">
        <f t="shared" si="58"/>
      </c>
      <c r="AK143" s="1">
        <f t="shared" si="59"/>
      </c>
      <c r="AL143" s="1">
        <f t="shared" si="60"/>
      </c>
      <c r="AM143" s="1">
        <f t="shared" si="61"/>
      </c>
      <c r="AN143" s="1"/>
      <c r="AO143" s="27">
        <f>LOOKUP(F126,Reference!A$2:X$2,Reference!$A$41:$X$41)</f>
        <v>0</v>
      </c>
      <c r="AP143" s="30"/>
      <c r="AQ143" s="27">
        <f t="shared" si="62"/>
        <v>0</v>
      </c>
      <c r="AR143" s="1">
        <f t="shared" si="63"/>
      </c>
    </row>
    <row r="144" spans="1:44" ht="12.75">
      <c r="A144" s="3">
        <f>LOOKUP(A126,Reference!$A$2:$X$2,Reference!A$20:X$20)</f>
        <v>0</v>
      </c>
      <c r="B144" s="3"/>
      <c r="C144" s="5"/>
      <c r="D144">
        <f>LOOKUP(C126,Reference!$A$2:$X$2,Reference!A$20:X$20)</f>
        <v>0</v>
      </c>
      <c r="H144" s="7"/>
      <c r="I144" s="11"/>
      <c r="J144" s="9"/>
      <c r="K144" s="16" t="s">
        <v>132</v>
      </c>
      <c r="L144">
        <f>IF(C137&gt;0.1,0.08,0)</f>
        <v>0.08</v>
      </c>
      <c r="M144">
        <f>IF(C144=424,MROUND(L144*L136/9,5),0)</f>
        <v>0</v>
      </c>
      <c r="N144" s="12"/>
      <c r="O144" s="11"/>
      <c r="P144" s="19"/>
      <c r="Q144" s="12" t="s">
        <v>116</v>
      </c>
      <c r="R144" s="11">
        <f>IF(A126=4,C135,0)</f>
        <v>0</v>
      </c>
      <c r="S144" s="9"/>
      <c r="T144">
        <f t="shared" si="64"/>
        <v>6.000059999999998</v>
      </c>
      <c r="U144">
        <f t="shared" si="65"/>
        <v>6</v>
      </c>
      <c r="V144" s="22">
        <f>LOOKUP(A126,Reference!$A$2:$X$2,Reference!$A$42:$X$42)</f>
        <v>0</v>
      </c>
      <c r="W144" s="22"/>
      <c r="X144" s="22">
        <f>LOOKUP(B126,Reference!$A$2:$X$2,Reference!$A$42:$X$42)</f>
        <v>0</v>
      </c>
      <c r="Y144" s="22">
        <f>LOOKUP(C126,Reference!$A$2:$X$2,Reference!$A$42:$X$42)</f>
        <v>0</v>
      </c>
      <c r="Z144" s="22"/>
      <c r="AA144" s="22">
        <f>LOOKUP(D126,Reference!$A$2:$X$2,Reference!$A$42:$X$42)</f>
        <v>0</v>
      </c>
      <c r="AB144" s="22"/>
      <c r="AC144" s="22"/>
      <c r="AD144" s="22"/>
      <c r="AE144" s="1">
        <f t="shared" si="53"/>
      </c>
      <c r="AF144" s="1">
        <f t="shared" si="54"/>
      </c>
      <c r="AG144" s="1">
        <f t="shared" si="55"/>
      </c>
      <c r="AH144" s="1">
        <f t="shared" si="56"/>
      </c>
      <c r="AI144" s="1">
        <f t="shared" si="57"/>
      </c>
      <c r="AJ144" s="1">
        <f t="shared" si="58"/>
      </c>
      <c r="AK144" s="1">
        <f t="shared" si="59"/>
      </c>
      <c r="AL144" s="1">
        <f t="shared" si="60"/>
      </c>
      <c r="AM144" s="1">
        <f t="shared" si="61"/>
      </c>
      <c r="AN144" s="1"/>
      <c r="AO144" s="27">
        <f>LOOKUP(F126,Reference!A$2:X$2,Reference!$A$42:$X$42)</f>
        <v>0</v>
      </c>
      <c r="AP144" s="30"/>
      <c r="AQ144" s="27">
        <f t="shared" si="62"/>
        <v>0</v>
      </c>
      <c r="AR144" s="1">
        <f t="shared" si="63"/>
      </c>
    </row>
    <row r="145" spans="1:44" ht="12.75">
      <c r="A145" s="3">
        <f>LOOKUP(A126,Reference!$A$2:$X$2,Reference!A$21:X$21)</f>
        <v>0</v>
      </c>
      <c r="B145" s="3"/>
      <c r="C145" s="5"/>
      <c r="D145">
        <f>LOOKUP(C126,Reference!$A$2:$X$2,Reference!A$21:X$21)</f>
        <v>0</v>
      </c>
      <c r="H145" s="7"/>
      <c r="I145" s="11"/>
      <c r="J145" s="9"/>
      <c r="K145" s="16" t="s">
        <v>101</v>
      </c>
      <c r="L145">
        <f>MROUND(L139/9,5)</f>
        <v>0</v>
      </c>
      <c r="N145" s="7"/>
      <c r="O145" s="11"/>
      <c r="P145" s="9"/>
      <c r="Q145" s="12" t="s">
        <v>117</v>
      </c>
      <c r="R145" s="11">
        <f>IF(A126=4,C134,0)</f>
        <v>0</v>
      </c>
      <c r="S145" s="9"/>
      <c r="V145" s="3" t="s">
        <v>98</v>
      </c>
      <c r="W145">
        <f>MROUND(SUM(R135,O135,L136,I135)/9,5)</f>
        <v>32985</v>
      </c>
      <c r="AO145" s="26"/>
      <c r="AP145" s="26"/>
      <c r="AQ145" s="26"/>
      <c r="AR145" s="1">
        <f>CONCATENATE(AH145,AI145,AJ145,AK145,,AM145,AN145)</f>
      </c>
    </row>
    <row r="146" spans="1:28" ht="12.75">
      <c r="A146" s="3">
        <f>LOOKUP(A126,Reference!$A$2:$X$2,Reference!C$22:X$22)</f>
        <v>0</v>
      </c>
      <c r="B146" s="3"/>
      <c r="C146" s="5"/>
      <c r="D146">
        <f>LOOKUP(C126,Reference!$A$2:$X$2,Reference!C$22:X$22)</f>
        <v>0</v>
      </c>
      <c r="H146" s="7"/>
      <c r="I146" s="11"/>
      <c r="J146" s="9"/>
      <c r="K146" s="12" t="s">
        <v>116</v>
      </c>
      <c r="L146">
        <f>IF(A126=2,C136,0)</f>
        <v>0</v>
      </c>
      <c r="N146" s="7"/>
      <c r="O146" s="11"/>
      <c r="P146" s="9"/>
      <c r="R146" s="11"/>
      <c r="S146" s="9"/>
      <c r="V146" s="3" t="s">
        <v>118</v>
      </c>
      <c r="W146">
        <f>R144+O141+L146+I141</f>
        <v>15930</v>
      </c>
      <c r="X146" s="3" t="s">
        <v>121</v>
      </c>
      <c r="Y146">
        <f>MROUND(W146/5280,0.01)</f>
        <v>3.02</v>
      </c>
      <c r="Z146" s="3" t="s">
        <v>120</v>
      </c>
      <c r="AB146" t="str">
        <f>CONCATENATE(V146,W146,X146,Y146,Z146)</f>
        <v>Length:  15930 Feet or 3.02 Mile(s)</v>
      </c>
    </row>
    <row r="147" spans="1:28" ht="12.75">
      <c r="A147" s="3">
        <f>LOOKUP(A126,Reference!$A$2:$X$2,Reference!A$23:X$23)</f>
        <v>0</v>
      </c>
      <c r="B147" s="3"/>
      <c r="C147" s="5"/>
      <c r="D147">
        <f>LOOKUP(C126,Reference!$A$2:$X$2,Reference!A$23:X$23)</f>
        <v>0</v>
      </c>
      <c r="H147" s="7"/>
      <c r="I147" s="11"/>
      <c r="J147" s="9"/>
      <c r="K147" s="12" t="s">
        <v>117</v>
      </c>
      <c r="L147">
        <f>IF(A126=2,C135,0)</f>
        <v>0</v>
      </c>
      <c r="N147" s="7"/>
      <c r="O147" s="11"/>
      <c r="P147" s="9"/>
      <c r="R147" s="11"/>
      <c r="S147" s="19"/>
      <c r="V147" s="3" t="s">
        <v>119</v>
      </c>
      <c r="W147">
        <f>R145+O142+L147+I142</f>
        <v>18.5</v>
      </c>
      <c r="X147" s="3" t="s">
        <v>122</v>
      </c>
      <c r="Y147" s="3" t="s">
        <v>123</v>
      </c>
      <c r="Z147" s="25">
        <f>W145</f>
        <v>32985</v>
      </c>
      <c r="AA147" s="3" t="s">
        <v>124</v>
      </c>
      <c r="AB147" t="str">
        <f>CONCATENATE(V147,W147,X147,Y147,Z147,AA147)</f>
        <v>Width:  18.5 Feet     (Approx. 32985 S.Y. including radius and driveway work)</v>
      </c>
    </row>
    <row r="148" spans="1:28" ht="12.75">
      <c r="A148" s="3">
        <f>LOOKUP(A126,Reference!$A$2:$X$2,Reference!A$24:X$24)</f>
        <v>0</v>
      </c>
      <c r="B148" s="3"/>
      <c r="C148" s="5"/>
      <c r="D148">
        <f>LOOKUP(C126,Reference!$A$2:$X$2,Reference!A$24:X$24)</f>
        <v>0</v>
      </c>
      <c r="H148" s="7">
        <f>IF(AND(A126=1,C138=424),"Type: ODOT Spec 424 Smooth Seal ","")</f>
      </c>
      <c r="I148" s="11" t="str">
        <f>IF(AND(A126=1,NOT(C138=424)),"Type: ODOT Spec 823 ","")</f>
        <v>Type: ODOT Spec 823 </v>
      </c>
      <c r="J148" s="9"/>
      <c r="K148" s="18">
        <f>IF(A126=2,"Type: ODOT Spec 448, with Spec 301 Widening ","")</f>
      </c>
      <c r="N148" s="7">
        <f>IF(A126=3,"Type: Chip Seal, 1997 ODOT Spec 409 ","")</f>
      </c>
      <c r="O148" s="11">
        <f>IF(O139&gt;0,"W/ Fog Seal","")</f>
      </c>
      <c r="P148" s="9"/>
      <c r="Q148">
        <f>IF(A126=4,"Type: Double Chip Seal, 1997 ODOT Spec 409 ","")</f>
      </c>
      <c r="R148" s="11">
        <f>IF(R142&gt;0,"W/ Fog Seal","")</f>
      </c>
      <c r="S148" s="9"/>
      <c r="V148" s="3">
        <f>IF(C131&gt;0,"W/ 617 Berm @ ","")</f>
      </c>
      <c r="W148" s="29">
        <f>IF(C131&gt;0,C131/12,"")</f>
      </c>
      <c r="X148" s="3">
        <f>IF(C131&gt;0," Feet Wide Each Side","")</f>
      </c>
      <c r="AB148" t="str">
        <f>CONCATENATE(H148,I148,J148,K148,L148,M148,N148,O148,P148,Q148,R148,S148,T148,U148,V148,W148,X148)</f>
        <v>Type: ODOT Spec 823 </v>
      </c>
    </row>
    <row r="156" spans="1:19" ht="12.75">
      <c r="A156" s="2" t="s">
        <v>137</v>
      </c>
      <c r="B156" s="3"/>
      <c r="C156" s="3" t="str">
        <f>"1 = Paving    2 = Paving-Widening     3= Chip Seal   4=Double Chip Seal"</f>
        <v>1 = Paving    2 = Paving-Widening     3= Chip Seal   4=Double Chip Seal</v>
      </c>
      <c r="I156">
        <f>I125</f>
        <v>1</v>
      </c>
      <c r="J156">
        <f>J125</f>
        <v>1.5</v>
      </c>
      <c r="L156">
        <f>L125</f>
        <v>2</v>
      </c>
      <c r="M156">
        <f>M125</f>
        <v>2.5</v>
      </c>
      <c r="O156">
        <f>O125</f>
        <v>3</v>
      </c>
      <c r="P156">
        <f>P125</f>
        <v>3.5</v>
      </c>
      <c r="R156">
        <f>R125</f>
        <v>4</v>
      </c>
      <c r="S156">
        <f>S125</f>
        <v>4.5</v>
      </c>
    </row>
    <row r="157" spans="1:19" ht="12.75">
      <c r="A157" s="6">
        <v>1</v>
      </c>
      <c r="B157" s="20">
        <f>A157+0.2</f>
        <v>1.2</v>
      </c>
      <c r="C157">
        <f>A157+0.5</f>
        <v>1.5</v>
      </c>
      <c r="D157">
        <f>A157+0.7</f>
        <v>1.7</v>
      </c>
      <c r="E157">
        <f>A157+0.8</f>
        <v>1.8</v>
      </c>
      <c r="F157">
        <f>A157+0.9</f>
        <v>1.9</v>
      </c>
      <c r="H157" s="7"/>
      <c r="I157" s="8" t="s">
        <v>37</v>
      </c>
      <c r="J157" s="9"/>
      <c r="K157" s="11"/>
      <c r="L157" t="s">
        <v>38</v>
      </c>
      <c r="N157" s="7"/>
      <c r="O157" s="8" t="s">
        <v>31</v>
      </c>
      <c r="P157" s="9"/>
      <c r="Q157" s="7"/>
      <c r="R157" s="8" t="s">
        <v>39</v>
      </c>
      <c r="S157" s="9"/>
    </row>
    <row r="158" spans="1:43" ht="12.75">
      <c r="A158" s="2" t="str">
        <f>LOOKUP(A157,Reference!$A$2:$S$2,Reference!A$3:S$3)</f>
        <v>Paving</v>
      </c>
      <c r="B158" s="2"/>
      <c r="H158" s="7"/>
      <c r="I158" s="10" t="s">
        <v>28</v>
      </c>
      <c r="J158" s="9"/>
      <c r="K158" s="11"/>
      <c r="L158" s="10" t="s">
        <v>28</v>
      </c>
      <c r="M158" s="11"/>
      <c r="N158" s="7"/>
      <c r="O158" s="10" t="s">
        <v>28</v>
      </c>
      <c r="P158" s="9"/>
      <c r="Q158" s="7"/>
      <c r="R158" s="10" t="s">
        <v>28</v>
      </c>
      <c r="S158" s="9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4" ht="12.75">
      <c r="A159" s="3" t="str">
        <f>LOOKUP(A157,Reference!$A$2:$X$2,Reference!A$4:X$4)</f>
        <v>Name</v>
      </c>
      <c r="B159" s="3"/>
      <c r="C159" s="4" t="s">
        <v>173</v>
      </c>
      <c r="D159" t="str">
        <f>"1st Length"</f>
        <v>1st Length</v>
      </c>
      <c r="E159" t="str">
        <f>"2nd Length"</f>
        <v>2nd Length</v>
      </c>
      <c r="F159" t="str">
        <f>"3rd Length"</f>
        <v>3rd Length</v>
      </c>
      <c r="G159" t="str">
        <f>"4th Length"</f>
        <v>4th Length</v>
      </c>
      <c r="H159" s="7"/>
      <c r="I159" s="11" t="s">
        <v>26</v>
      </c>
      <c r="J159" s="9" t="s">
        <v>50</v>
      </c>
      <c r="K159" s="11"/>
      <c r="L159" s="11" t="s">
        <v>26</v>
      </c>
      <c r="M159" s="8" t="s">
        <v>68</v>
      </c>
      <c r="N159" s="7"/>
      <c r="O159" s="11" t="s">
        <v>26</v>
      </c>
      <c r="P159" s="19" t="s">
        <v>67</v>
      </c>
      <c r="Q159" s="7"/>
      <c r="R159" s="11" t="s">
        <v>26</v>
      </c>
      <c r="S159" s="19" t="s">
        <v>67</v>
      </c>
      <c r="V159" s="23" t="s">
        <v>2</v>
      </c>
      <c r="W159" s="24" t="s">
        <v>86</v>
      </c>
      <c r="X159" s="24" t="s">
        <v>3</v>
      </c>
      <c r="Y159" s="24" t="s">
        <v>4</v>
      </c>
      <c r="Z159" s="21"/>
      <c r="AA159" s="22"/>
      <c r="AB159" s="22"/>
      <c r="AC159" s="22"/>
      <c r="AD159" s="2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7" t="s">
        <v>126</v>
      </c>
      <c r="AP159" s="27" t="s">
        <v>127</v>
      </c>
      <c r="AQ159" s="27" t="s">
        <v>128</v>
      </c>
      <c r="AR159" s="27" t="s">
        <v>4</v>
      </c>
    </row>
    <row r="160" spans="1:44" ht="12.75">
      <c r="A160" s="3" t="str">
        <f>LOOKUP(A157,Reference!$A$2:$X$2,Reference!A$5:X$5)</f>
        <v>Radii</v>
      </c>
      <c r="B160" s="3"/>
      <c r="C160" s="5">
        <v>4</v>
      </c>
      <c r="D160" t="str">
        <f>LOOKUP(C157,Reference!$A$2:$X$2,Reference!A$5:X$5)</f>
        <v>@ 10 SY Each</v>
      </c>
      <c r="H160" s="12" t="s">
        <v>47</v>
      </c>
      <c r="I160" s="11">
        <f>IF(A157=1,10*C160*9,0)</f>
        <v>360</v>
      </c>
      <c r="J160" s="9"/>
      <c r="K160" s="12" t="s">
        <v>47</v>
      </c>
      <c r="L160">
        <f>IF(A157=2,10*C160*9,0)</f>
        <v>0</v>
      </c>
      <c r="N160" s="12" t="s">
        <v>47</v>
      </c>
      <c r="O160" s="11">
        <f>IF(A157=3,10*C160*9,0)</f>
        <v>0</v>
      </c>
      <c r="P160" s="9"/>
      <c r="Q160" s="12" t="s">
        <v>47</v>
      </c>
      <c r="R160" s="11">
        <f>IF(A157=4,10*C160*9,0)</f>
        <v>0</v>
      </c>
      <c r="S160" s="9"/>
      <c r="T160">
        <f>IF(W160&gt;0,1,0)</f>
        <v>1</v>
      </c>
      <c r="U160">
        <f>T160</f>
        <v>1</v>
      </c>
      <c r="V160" s="22">
        <f>LOOKUP(A157,Reference!$A$2:$X$2,Reference!$A$27:$X$27)</f>
        <v>407</v>
      </c>
      <c r="W160" s="22">
        <f>IF(A157=1,J169+J170,0)+IF(A157=2,L172,0)+IF(A157=3,P168,0)+IF(A157=4,S168,0)</f>
        <v>780</v>
      </c>
      <c r="X160" s="22" t="str">
        <f>LOOKUP(B157,Reference!$A$2:$X$2,Reference!$A$27:$X$27)</f>
        <v>Gal</v>
      </c>
      <c r="Y160" s="22" t="str">
        <f>LOOKUP(C157,Reference!$A$2:$X$2,Reference!$A$27:X$27)</f>
        <v>Bituminous Tack Coat applied at 0.05 gallons per square yard</v>
      </c>
      <c r="Z160" s="22">
        <f>IF(A157=3,O168,0)+IF(A157=4,R168,0)</f>
        <v>0</v>
      </c>
      <c r="AA160" s="22">
        <f>LOOKUP(D157,Reference!$A$2:$X$2,Reference!$A$27:$X$27)</f>
        <v>0</v>
      </c>
      <c r="AB160" s="22"/>
      <c r="AC160" s="22"/>
      <c r="AD160" s="22"/>
      <c r="AE160" s="1">
        <f aca="true" t="shared" si="66" ref="AE160:AE175">IF(V160=0,"",V160)</f>
        <v>407</v>
      </c>
      <c r="AF160" s="1">
        <f aca="true" t="shared" si="67" ref="AF160:AF175">IF(W160=0,"",W160)</f>
        <v>780</v>
      </c>
      <c r="AG160" s="1" t="str">
        <f aca="true" t="shared" si="68" ref="AG160:AG175">IF(X160=0,"",X160)</f>
        <v>Gal</v>
      </c>
      <c r="AH160" s="1" t="str">
        <f aca="true" t="shared" si="69" ref="AH160:AH175">IF(Y160=0,"",Y160)</f>
        <v>Bituminous Tack Coat applied at 0.05 gallons per square yard</v>
      </c>
      <c r="AI160" s="1">
        <f aca="true" t="shared" si="70" ref="AI160:AI175">IF(Z160=0,"",Z160)</f>
      </c>
      <c r="AJ160" s="1">
        <f aca="true" t="shared" si="71" ref="AJ160:AJ175">IF(AA160=0,"",AA160)</f>
      </c>
      <c r="AK160" s="1">
        <f aca="true" t="shared" si="72" ref="AK160:AK175">IF(AB160=0,"",AB160)</f>
      </c>
      <c r="AL160" s="1">
        <f aca="true" t="shared" si="73" ref="AL160:AL175">IF(AC160=0,"",AC160)</f>
      </c>
      <c r="AM160" s="1">
        <f aca="true" t="shared" si="74" ref="AM160:AM175">IF(AD160=0,"",AD160)</f>
      </c>
      <c r="AN160" s="1"/>
      <c r="AO160" s="27">
        <f>LOOKUP(F157,Reference!A$2:X$2,Reference!$A$27:$X$27)</f>
        <v>2.1</v>
      </c>
      <c r="AP160" s="30"/>
      <c r="AQ160" s="27">
        <f aca="true" t="shared" si="75" ref="AQ160:AQ175">IF(AP160&gt;0,AP160,AO160)</f>
        <v>2.1</v>
      </c>
      <c r="AR160" s="1" t="str">
        <f aca="true" t="shared" si="76" ref="AR160:AR175">CONCATENATE(AH160,AI160,AJ160,AK160,AL160,AM160,AN160)</f>
        <v>Bituminous Tack Coat applied at 0.05 gallons per square yard</v>
      </c>
    </row>
    <row r="161" spans="1:44" ht="12.75">
      <c r="A161" s="3" t="str">
        <f>LOOKUP(A157,Reference!$A$2:$X$2,Reference!A$6:X$6)</f>
        <v>Drives</v>
      </c>
      <c r="B161" s="3"/>
      <c r="C161" s="5">
        <v>5</v>
      </c>
      <c r="D161" t="str">
        <f>LOOKUP(C157,Reference!$A$2:$X$2,Reference!A$6:X$6)</f>
        <v>@ 4 SY Each</v>
      </c>
      <c r="H161" s="12" t="s">
        <v>17</v>
      </c>
      <c r="I161" s="11">
        <f>IF(A157=1,4*C161*9,0)</f>
        <v>180</v>
      </c>
      <c r="J161" s="9"/>
      <c r="K161" s="12" t="s">
        <v>17</v>
      </c>
      <c r="L161">
        <f>IF(A157=2,4*C161*9,0)</f>
        <v>0</v>
      </c>
      <c r="N161" s="12" t="s">
        <v>17</v>
      </c>
      <c r="O161" s="11">
        <f>IF(A157=3,4*C161*9,0)</f>
        <v>0</v>
      </c>
      <c r="P161" s="9"/>
      <c r="Q161" s="12" t="s">
        <v>17</v>
      </c>
      <c r="R161" s="11">
        <f>IF(A157=4,4*C161*9,0)</f>
        <v>0</v>
      </c>
      <c r="S161" s="9"/>
      <c r="T161">
        <f aca="true" t="shared" si="77" ref="T161:T175">IF(W161&gt;0,U160+1,T160+0.00001)</f>
        <v>2</v>
      </c>
      <c r="U161">
        <f aca="true" t="shared" si="78" ref="U161:U175">IF(T161&gt;U160+0.5,U160+1,U160)</f>
        <v>2</v>
      </c>
      <c r="V161" s="22">
        <f>LOOKUP(A157,Reference!$A$2:$X$2,Reference!$A$28:$X$28)</f>
        <v>823</v>
      </c>
      <c r="W161" s="22">
        <f>IF(A157=1,J167,0)+IF(A157=2,M170,0)+IF(A157=3,P167,0)+IF(A157=4,S170,0)</f>
        <v>162</v>
      </c>
      <c r="X161" s="22" t="str">
        <f>LOOKUP(B157,Reference!$A$2:$X$2,Reference!$A$28:$X$28)</f>
        <v>C.Y.</v>
      </c>
      <c r="Y161" s="22" t="str">
        <f>LOOKUP(C157,Reference!$A$2:$X$2,Reference!$A$28:$X$28)</f>
        <v>Asphalt intermediate course PG 64-22, Type 1 (823) applied, spread and compacted at the average depth of </v>
      </c>
      <c r="Z161" s="22">
        <f>IF(A157=1,C167,0)+IF(A157=2,C170,0)+IF(A157=3,O169,0)+IF(A157=4,R169,0)</f>
        <v>0.75</v>
      </c>
      <c r="AA161" s="22" t="str">
        <f>LOOKUP(D157,Reference!$A$2:$X$2,Reference!$A$28:$X$28)</f>
        <v> inches</v>
      </c>
      <c r="AB161" s="22">
        <f>IF(A157=3,O167,0)+IF(A157=4,R167,0)</f>
        <v>0</v>
      </c>
      <c r="AC161" s="22">
        <f>IF(A157=2,C174,0)</f>
        <v>0</v>
      </c>
      <c r="AD161" s="22">
        <f>LOOKUP(E157,Reference!$A$2:$X$2,Reference!$A$28:$X$28)</f>
        <v>0</v>
      </c>
      <c r="AE161" s="1">
        <f t="shared" si="66"/>
        <v>823</v>
      </c>
      <c r="AF161" s="1">
        <f t="shared" si="67"/>
        <v>162</v>
      </c>
      <c r="AG161" s="1" t="str">
        <f t="shared" si="68"/>
        <v>C.Y.</v>
      </c>
      <c r="AH161" s="1" t="str">
        <f t="shared" si="69"/>
        <v>Asphalt intermediate course PG 64-22, Type 1 (823) applied, spread and compacted at the average depth of </v>
      </c>
      <c r="AI161" s="1">
        <f t="shared" si="70"/>
        <v>0.75</v>
      </c>
      <c r="AJ161" s="1" t="str">
        <f t="shared" si="71"/>
        <v> inches</v>
      </c>
      <c r="AK161" s="1">
        <f t="shared" si="72"/>
      </c>
      <c r="AL161" s="1">
        <f t="shared" si="73"/>
      </c>
      <c r="AM161" s="1">
        <f t="shared" si="74"/>
      </c>
      <c r="AN161" s="1"/>
      <c r="AO161" s="27">
        <f>LOOKUP(F157,Reference!A$2:X$2,Reference!$A$28:$X$28)</f>
        <v>150</v>
      </c>
      <c r="AP161" s="30">
        <v>185</v>
      </c>
      <c r="AQ161" s="27">
        <f t="shared" si="75"/>
        <v>185</v>
      </c>
      <c r="AR161" s="1" t="str">
        <f t="shared" si="76"/>
        <v>Asphalt intermediate course PG 64-22, Type 1 (823) applied, spread and compacted at the average depth of 0.75 inches</v>
      </c>
    </row>
    <row r="162" spans="1:44" ht="12.75">
      <c r="A162" s="3" t="str">
        <f>LOOKUP(A157,Reference!$A$2:$X$2,Reference!A$7:X$7)</f>
        <v>Berm (Per Side)</v>
      </c>
      <c r="B162" s="3"/>
      <c r="C162" s="5">
        <v>0</v>
      </c>
      <c r="D162" t="str">
        <f>LOOKUP(C157,Reference!$A$2:$X$2,Reference!A$7:X$7)</f>
        <v>inches</v>
      </c>
      <c r="H162" s="12" t="s">
        <v>18</v>
      </c>
      <c r="I162" s="11">
        <f>IF(A157=1,C162*2*C166/12,0)</f>
        <v>0</v>
      </c>
      <c r="J162" s="9">
        <f>MROUND(I162*C163/12*1/27+0.4,1)</f>
        <v>0</v>
      </c>
      <c r="K162" s="12" t="s">
        <v>18</v>
      </c>
      <c r="L162">
        <f>IF(A157=2,C162*2*C167/12,0)</f>
        <v>0</v>
      </c>
      <c r="M162">
        <f>MROUND(L162*C163/12*1/27+0.4,1)</f>
        <v>0</v>
      </c>
      <c r="N162" s="12" t="s">
        <v>18</v>
      </c>
      <c r="O162" s="11">
        <f>IF(A157=3,C162*2*C166/12,0)</f>
        <v>0</v>
      </c>
      <c r="P162" s="9">
        <f>MROUND(O162*C163/12*1/27+0.4,1)</f>
        <v>0</v>
      </c>
      <c r="Q162" s="12" t="s">
        <v>18</v>
      </c>
      <c r="R162" s="11">
        <f>IF(A157=4,C162*2*C166/12,0)</f>
        <v>0</v>
      </c>
      <c r="S162" s="9">
        <f>MROUND(R162*C163/12*1/27+0.4,1)</f>
        <v>0</v>
      </c>
      <c r="T162">
        <f t="shared" si="77"/>
        <v>3</v>
      </c>
      <c r="U162">
        <f t="shared" si="78"/>
        <v>3</v>
      </c>
      <c r="V162" s="22">
        <f>LOOKUP(A157,Reference!$A$2:$X$2,Reference!$A$29:$X$29)</f>
        <v>823</v>
      </c>
      <c r="W162" s="22">
        <f>IF(AND(A157=1,NOT(C169=424)),J168,0)+IF(A157=2,L176,0)+IF(A157=3,P170,0)+IF(A157=4,S171,0)</f>
        <v>270</v>
      </c>
      <c r="X162" s="22" t="str">
        <f>LOOKUP(B157,Reference!$A$2:$X$2,Reference!$A$29:$X$29)</f>
        <v>C.Y.</v>
      </c>
      <c r="Y162" s="22" t="str">
        <f>LOOKUP(C157,Reference!$A$2:$X$2,Reference!$A$29:$X$29)</f>
        <v>Asphalt concrete surface course PG 64-22, Type 1 (823) applied, spread and compacted at the average depth of </v>
      </c>
      <c r="Z162" s="22">
        <f>IF(AND(A157=1,NOT(C169=424)),C168,0)+IF(A157=4,R171,0)</f>
        <v>1.25</v>
      </c>
      <c r="AA162" s="22" t="str">
        <f>LOOKUP(D157,Reference!$A$2:$X$2,Reference!$A$29:$X$29)</f>
        <v> inches</v>
      </c>
      <c r="AB162" s="22"/>
      <c r="AC162" s="22"/>
      <c r="AD162" s="22"/>
      <c r="AE162" s="1">
        <f t="shared" si="66"/>
        <v>823</v>
      </c>
      <c r="AF162" s="1">
        <f t="shared" si="67"/>
        <v>270</v>
      </c>
      <c r="AG162" s="1" t="str">
        <f t="shared" si="68"/>
        <v>C.Y.</v>
      </c>
      <c r="AH162" s="1" t="str">
        <f t="shared" si="69"/>
        <v>Asphalt concrete surface course PG 64-22, Type 1 (823) applied, spread and compacted at the average depth of </v>
      </c>
      <c r="AI162" s="1">
        <f t="shared" si="70"/>
        <v>1.25</v>
      </c>
      <c r="AJ162" s="1" t="str">
        <f t="shared" si="71"/>
        <v> inches</v>
      </c>
      <c r="AK162" s="1">
        <f t="shared" si="72"/>
      </c>
      <c r="AL162" s="1">
        <f t="shared" si="73"/>
      </c>
      <c r="AM162" s="1">
        <f t="shared" si="74"/>
      </c>
      <c r="AN162" s="1"/>
      <c r="AO162" s="27">
        <f>LOOKUP(F157,Reference!A$2:X$2,Reference!$A$29:$X$29)</f>
        <v>150</v>
      </c>
      <c r="AP162" s="30">
        <v>185</v>
      </c>
      <c r="AQ162" s="27">
        <f t="shared" si="75"/>
        <v>185</v>
      </c>
      <c r="AR162" s="1" t="str">
        <f t="shared" si="76"/>
        <v>Asphalt concrete surface course PG 64-22, Type 1 (823) applied, spread and compacted at the average depth of 1.25 inches</v>
      </c>
    </row>
    <row r="163" spans="1:44" ht="12.75">
      <c r="A163" s="3" t="str">
        <f>LOOKUP(A157,Reference!$A$2:$X$2,Reference!A$8:X$8)</f>
        <v>Berm Depth</v>
      </c>
      <c r="B163" s="3"/>
      <c r="C163" s="5">
        <v>0</v>
      </c>
      <c r="D163" t="str">
        <f>LOOKUP(C157,Reference!$A$2:$X$2,Reference!A$8:X$8)</f>
        <v>inches</v>
      </c>
      <c r="H163" s="12"/>
      <c r="I163" s="11"/>
      <c r="J163" s="9"/>
      <c r="K163" s="11"/>
      <c r="N163" s="7"/>
      <c r="O163" s="11"/>
      <c r="P163" s="9"/>
      <c r="R163" s="11"/>
      <c r="S163" s="9"/>
      <c r="T163">
        <f t="shared" si="77"/>
        <v>3.00001</v>
      </c>
      <c r="U163">
        <f t="shared" si="78"/>
        <v>3</v>
      </c>
      <c r="V163" s="22">
        <f>LOOKUP(A157,Reference!$A$2:$X$2,Reference!$A$30:$X$30)</f>
        <v>407</v>
      </c>
      <c r="W163" s="22">
        <f>+IF(A157=2,M170,0)+IF(A157=3,P162,0)+IF(A157=4,S170,0)+IF(A157=1,J171,0)</f>
        <v>0</v>
      </c>
      <c r="X163" s="22" t="str">
        <f>LOOKUP(B157,Reference!$A$2:$X$2,Reference!$A$30:$X$30)</f>
        <v>Gal</v>
      </c>
      <c r="Y163" s="22" t="str">
        <f>LOOKUP(C157,Reference!$A$2:$X$2,Reference!$A$30:$X$30)</f>
        <v>Rubberized Latex Tack Coat (0.08 Gal./S.Y.)</v>
      </c>
      <c r="Z163" s="22">
        <f>IF(A157=2,C171,0)+IF(A157=3,C163,0)+IF(A157=4,R172,0)</f>
        <v>0</v>
      </c>
      <c r="AA163" s="22">
        <f>LOOKUP(D157,Reference!$A$2:$X$2,Reference!$A$30:$X$30)</f>
        <v>0</v>
      </c>
      <c r="AB163" s="22">
        <f>IF(A157=4,R170,0)</f>
        <v>0</v>
      </c>
      <c r="AC163" s="22"/>
      <c r="AD163" s="22">
        <f>LOOKUP(E157,Reference!$A$2:$X$2,Reference!$A$30:$X$30)</f>
        <v>0</v>
      </c>
      <c r="AE163" s="1">
        <f t="shared" si="66"/>
        <v>407</v>
      </c>
      <c r="AF163" s="1">
        <f t="shared" si="67"/>
      </c>
      <c r="AG163" s="1" t="str">
        <f t="shared" si="68"/>
        <v>Gal</v>
      </c>
      <c r="AH163" s="1" t="str">
        <f t="shared" si="69"/>
        <v>Rubberized Latex Tack Coat (0.08 Gal./S.Y.)</v>
      </c>
      <c r="AI163" s="1">
        <f t="shared" si="70"/>
      </c>
      <c r="AJ163" s="1">
        <f t="shared" si="71"/>
      </c>
      <c r="AK163" s="1">
        <f t="shared" si="72"/>
      </c>
      <c r="AL163" s="1">
        <f t="shared" si="73"/>
      </c>
      <c r="AM163" s="1">
        <f t="shared" si="74"/>
      </c>
      <c r="AN163" s="1"/>
      <c r="AO163" s="27">
        <f>LOOKUP(F157,Reference!A$2:X$2,Reference!$A$30:$X$30)</f>
        <v>3.5</v>
      </c>
      <c r="AP163" s="30"/>
      <c r="AQ163" s="27">
        <f t="shared" si="75"/>
        <v>3.5</v>
      </c>
      <c r="AR163" s="1" t="str">
        <f t="shared" si="76"/>
        <v>Rubberized Latex Tack Coat (0.08 Gal./S.Y.)</v>
      </c>
    </row>
    <row r="164" spans="1:44" ht="12.75">
      <c r="A164" s="3" t="str">
        <f>LOOKUP(A157,Reference!$A$2:$X$2,Reference!A$9:X$9)</f>
        <v>Pavement Planing</v>
      </c>
      <c r="B164" s="3"/>
      <c r="C164" s="5">
        <v>120</v>
      </c>
      <c r="D164" s="5"/>
      <c r="E164" s="5"/>
      <c r="F164" s="5"/>
      <c r="G164" s="5"/>
      <c r="H164" s="7" t="s">
        <v>52</v>
      </c>
      <c r="I164" s="11">
        <f>IF(A157=1,C164,0)</f>
        <v>120</v>
      </c>
      <c r="J164" s="9">
        <f>IF(A157=1,SUM(D164:G164),0)</f>
        <v>0</v>
      </c>
      <c r="K164" s="7" t="s">
        <v>52</v>
      </c>
      <c r="L164" s="11">
        <f>IF(A157=2,C164,0)</f>
        <v>0</v>
      </c>
      <c r="M164" s="11">
        <f>IF(A157=2,SUM(D164:G164),0)</f>
        <v>0</v>
      </c>
      <c r="N164" s="7"/>
      <c r="O164" s="11"/>
      <c r="P164" s="9"/>
      <c r="R164" s="11"/>
      <c r="S164" s="9"/>
      <c r="T164">
        <f t="shared" si="77"/>
        <v>3.00002</v>
      </c>
      <c r="U164">
        <f t="shared" si="78"/>
        <v>3</v>
      </c>
      <c r="V164" s="22">
        <f>LOOKUP(A157,Reference!$A$2:$X$2,Reference!$A$31:$X$31)</f>
        <v>424</v>
      </c>
      <c r="W164" s="22">
        <f>IF(A157=2,M173+M174,0)+IF(AND(C166&gt;0,A157=3),1,0)+IF(A157=4,S173,0)+IF(AND(A157=1,C169=424),J168,0)</f>
        <v>0</v>
      </c>
      <c r="X164" s="22" t="str">
        <f>LOOKUP(B157,Reference!$A$2:$X$2,Reference!$A$31:$X$31)</f>
        <v>C.Y.</v>
      </c>
      <c r="Y164" s="22" t="str">
        <f>LOOKUP(C157,Reference!$A$2:$X$2,Reference!$A$31:$X$31)</f>
        <v>Type B Smooth Seal Asphalt PG76-22, spread and compacted at the average depth of </v>
      </c>
      <c r="Z164" s="28">
        <f>IF(AND(A157=1,C169=424),C168,0)</f>
        <v>0</v>
      </c>
      <c r="AA164" s="22" t="str">
        <f>LOOKUP(D157,Reference!$A$2:$X$2,Reference!$A$31:$X$31)</f>
        <v> inches</v>
      </c>
      <c r="AB164" s="22"/>
      <c r="AC164" s="22"/>
      <c r="AD164" s="22"/>
      <c r="AE164" s="1">
        <f t="shared" si="66"/>
        <v>424</v>
      </c>
      <c r="AF164" s="1">
        <f t="shared" si="67"/>
      </c>
      <c r="AG164" s="1" t="str">
        <f t="shared" si="68"/>
        <v>C.Y.</v>
      </c>
      <c r="AH164" s="1" t="str">
        <f t="shared" si="69"/>
        <v>Type B Smooth Seal Asphalt PG76-22, spread and compacted at the average depth of </v>
      </c>
      <c r="AI164" s="1">
        <f t="shared" si="70"/>
      </c>
      <c r="AJ164" s="1" t="str">
        <f t="shared" si="71"/>
        <v> inches</v>
      </c>
      <c r="AK164" s="1">
        <f t="shared" si="72"/>
      </c>
      <c r="AL164" s="1">
        <f t="shared" si="73"/>
      </c>
      <c r="AM164" s="1">
        <f t="shared" si="74"/>
      </c>
      <c r="AN164" s="1"/>
      <c r="AO164" s="27">
        <f>LOOKUP(F157,Reference!A$2:X$2,Reference!$A$31:$X$31)</f>
        <v>210</v>
      </c>
      <c r="AP164" s="30"/>
      <c r="AQ164" s="27">
        <f t="shared" si="75"/>
        <v>210</v>
      </c>
      <c r="AR164" s="1" t="str">
        <f t="shared" si="76"/>
        <v>Type B Smooth Seal Asphalt PG76-22, spread and compacted at the average depth of  inches</v>
      </c>
    </row>
    <row r="165" spans="1:44" ht="12.75">
      <c r="A165" s="3" t="str">
        <f>LOOKUP(A157,Reference!$A$2:$X$2,Reference!A$10:X$10)</f>
        <v>Pavement Width</v>
      </c>
      <c r="B165" s="3"/>
      <c r="C165" s="5">
        <v>13</v>
      </c>
      <c r="D165" t="str">
        <f>LOOKUP(C157,Reference!$A$2:$X$2,Reference!A$10:X$10)</f>
        <v>feet</v>
      </c>
      <c r="H165" s="12" t="s">
        <v>48</v>
      </c>
      <c r="I165" s="11">
        <f>IF(A157=1,C165*C166,0)</f>
        <v>69225</v>
      </c>
      <c r="J165" s="9"/>
      <c r="K165" s="14" t="s">
        <v>53</v>
      </c>
      <c r="L165">
        <f>IF(A157=2,C165,0)</f>
        <v>0</v>
      </c>
      <c r="N165" s="17" t="s">
        <v>48</v>
      </c>
      <c r="O165" s="11">
        <f>IF(A157=3,C165*C166,0)</f>
        <v>0</v>
      </c>
      <c r="P165" s="9"/>
      <c r="Q165" s="17" t="s">
        <v>48</v>
      </c>
      <c r="R165" s="11">
        <f>IF(A157=4,C165*C166,0)</f>
        <v>0</v>
      </c>
      <c r="S165" s="9"/>
      <c r="T165">
        <f t="shared" si="77"/>
        <v>3.00003</v>
      </c>
      <c r="U165">
        <f t="shared" si="78"/>
        <v>3</v>
      </c>
      <c r="V165" s="22">
        <f>LOOKUP(A157,Reference!$A$2:$X$2,Reference!$A$32:$X$32)</f>
        <v>617</v>
      </c>
      <c r="W165" s="22">
        <f>IF(A157=2,M168,0)+IF(AND(C166&gt;0,A157=3),1,0)+IF(A157=4,S162,0)+IF(A157=1,J162,0)</f>
        <v>0</v>
      </c>
      <c r="X165" s="22" t="str">
        <f>LOOKUP(B157,Reference!$A$2:$X$2,Reference!$A$32:$X$32)</f>
        <v>C.Y.</v>
      </c>
      <c r="Y165" s="22" t="str">
        <f>LOOKUP(C157,Reference!$A$2:$X$2,Reference!$A$32:$X$32)</f>
        <v>Stabilized crushed aggregate berm in place and compacted at the average depth of </v>
      </c>
      <c r="Z165" s="22">
        <f>IF(A157=2,C168,0)+IF(A157=4,C163,0)+IF(A157=1,C163,0)</f>
        <v>0</v>
      </c>
      <c r="AA165" s="22" t="str">
        <f>LOOKUP(D157,Reference!$A$2:$X$2,Reference!$A$32:$X$32)</f>
        <v> inches</v>
      </c>
      <c r="AB165" s="22"/>
      <c r="AC165" s="22"/>
      <c r="AD165" s="22"/>
      <c r="AE165" s="1">
        <f t="shared" si="66"/>
        <v>617</v>
      </c>
      <c r="AF165" s="1">
        <f t="shared" si="67"/>
      </c>
      <c r="AG165" s="1" t="str">
        <f t="shared" si="68"/>
        <v>C.Y.</v>
      </c>
      <c r="AH165" s="1" t="str">
        <f t="shared" si="69"/>
        <v>Stabilized crushed aggregate berm in place and compacted at the average depth of </v>
      </c>
      <c r="AI165" s="1">
        <f t="shared" si="70"/>
      </c>
      <c r="AJ165" s="1" t="str">
        <f t="shared" si="71"/>
        <v> inches</v>
      </c>
      <c r="AK165" s="1">
        <f t="shared" si="72"/>
      </c>
      <c r="AL165" s="1">
        <f t="shared" si="73"/>
      </c>
      <c r="AM165" s="1">
        <f t="shared" si="74"/>
      </c>
      <c r="AN165" s="1"/>
      <c r="AO165" s="27">
        <f>LOOKUP(F157,Reference!A$2:X$2,Reference!$A$32:$X$32)</f>
        <v>58</v>
      </c>
      <c r="AP165" s="30"/>
      <c r="AQ165" s="27">
        <f t="shared" si="75"/>
        <v>58</v>
      </c>
      <c r="AR165" s="1" t="str">
        <f t="shared" si="76"/>
        <v>Stabilized crushed aggregate berm in place and compacted at the average depth of  inches</v>
      </c>
    </row>
    <row r="166" spans="1:44" ht="12.75">
      <c r="A166" s="3" t="str">
        <f>LOOKUP(A157,Reference!$A$2:$X$2,Reference!A$11:X$11)</f>
        <v>Pavement Length</v>
      </c>
      <c r="B166" s="3"/>
      <c r="C166" s="5">
        <v>5325</v>
      </c>
      <c r="D166" t="str">
        <f>LOOKUP(C157,Reference!$A$2:$X$2,Reference!A$11:X$11)</f>
        <v>feet</v>
      </c>
      <c r="H166" s="12" t="s">
        <v>46</v>
      </c>
      <c r="I166" s="11">
        <f>IF(A157=1,I165+I161+I160,0)</f>
        <v>69765</v>
      </c>
      <c r="J166" s="9"/>
      <c r="K166" s="12" t="s">
        <v>48</v>
      </c>
      <c r="L166">
        <f>IF(A157=2,C166*C167,0)</f>
        <v>0</v>
      </c>
      <c r="N166" s="17" t="s">
        <v>46</v>
      </c>
      <c r="O166" s="11">
        <f>O165+O160+O161</f>
        <v>0</v>
      </c>
      <c r="P166" s="9"/>
      <c r="Q166" s="17" t="s">
        <v>46</v>
      </c>
      <c r="R166" s="11">
        <f>R165+R160+R161</f>
        <v>0</v>
      </c>
      <c r="S166" s="9"/>
      <c r="T166">
        <f t="shared" si="77"/>
        <v>4</v>
      </c>
      <c r="U166">
        <f t="shared" si="78"/>
        <v>4</v>
      </c>
      <c r="V166" s="22">
        <f>LOOKUP(A157,Reference!$A$2:$X$2,Reference!$A$33:$X$33)</f>
        <v>254</v>
      </c>
      <c r="W166" s="22">
        <f>IF(AND(A157=2,NOT(C175=424)),M169,0)+IF(AND(C166&gt;0,A157=3),1,0)+IF(AND(C166&gt;0,A157=4),1,0)+IF(A157=1,I164,0)</f>
        <v>120</v>
      </c>
      <c r="X166" s="22" t="str">
        <f>LOOKUP(B157,Reference!$A$2:$X$2,Reference!$A$33:$X$33)</f>
        <v>S.Y.</v>
      </c>
      <c r="Y166" s="22" t="str">
        <f>LOOKUP(C157,Reference!$A$2:$X$2,Reference!$A$33:$X$33)</f>
        <v>Pavement Planing</v>
      </c>
      <c r="Z166" s="22">
        <f>IF(AND(A157=2,NOT(C175=424)),C169,0)+IF(A157=1,J164,0)</f>
        <v>0</v>
      </c>
      <c r="AA166" s="22" t="str">
        <f>LOOKUP(D157,Reference!$A$2:$X$2,Reference!$A$33:$X$33)</f>
        <v> (20' length including radius)</v>
      </c>
      <c r="AB166" s="22"/>
      <c r="AC166" s="22"/>
      <c r="AD166" s="22"/>
      <c r="AE166" s="1">
        <f t="shared" si="66"/>
        <v>254</v>
      </c>
      <c r="AF166" s="1">
        <f t="shared" si="67"/>
        <v>120</v>
      </c>
      <c r="AG166" s="1" t="str">
        <f t="shared" si="68"/>
        <v>S.Y.</v>
      </c>
      <c r="AH166" s="1" t="str">
        <f t="shared" si="69"/>
        <v>Pavement Planing</v>
      </c>
      <c r="AI166" s="1">
        <f t="shared" si="70"/>
      </c>
      <c r="AJ166" s="1" t="str">
        <f t="shared" si="71"/>
        <v> (20' length including radius)</v>
      </c>
      <c r="AK166" s="1">
        <f t="shared" si="72"/>
      </c>
      <c r="AL166" s="1">
        <f t="shared" si="73"/>
      </c>
      <c r="AM166" s="1">
        <f t="shared" si="74"/>
      </c>
      <c r="AN166" s="1"/>
      <c r="AO166" s="27">
        <f>LOOKUP(F157,Reference!A$2:X$2,Reference!$A$33:$X$33)</f>
        <v>15</v>
      </c>
      <c r="AP166" s="30">
        <v>12</v>
      </c>
      <c r="AQ166" s="27">
        <f t="shared" si="75"/>
        <v>12</v>
      </c>
      <c r="AR166" s="1" t="str">
        <f t="shared" si="76"/>
        <v>Pavement Planing (20' length including radius)</v>
      </c>
    </row>
    <row r="167" spans="1:44" ht="12.75">
      <c r="A167" s="3" t="str">
        <f>LOOKUP(A157,Reference!$A$2:$X$2,Reference!A$12:X$12)</f>
        <v>Intermediate Course</v>
      </c>
      <c r="B167" s="3"/>
      <c r="C167" s="5">
        <v>0.75</v>
      </c>
      <c r="D167" t="str">
        <f>LOOKUP(C157,Reference!$A$2:$X$2,Reference!A$12:X$12)</f>
        <v>inches</v>
      </c>
      <c r="H167" s="7"/>
      <c r="I167" s="11"/>
      <c r="J167" s="13">
        <f>MROUND(I166*C167/12*1/27+0.4,1)</f>
        <v>162</v>
      </c>
      <c r="K167" s="12" t="s">
        <v>46</v>
      </c>
      <c r="L167">
        <f>IF(A157=2,L160+L161+L165+L166,0)</f>
        <v>0</v>
      </c>
      <c r="N167" s="18" t="s">
        <v>70</v>
      </c>
      <c r="O167" s="8">
        <f>IF(A157=3,C167,0)</f>
        <v>0</v>
      </c>
      <c r="P167" s="9">
        <f>MROUND(O166/9*O167/2400+2,5)</f>
        <v>0</v>
      </c>
      <c r="Q167" s="18" t="s">
        <v>77</v>
      </c>
      <c r="R167" s="8">
        <f>IF(A157=4,C167,0)</f>
        <v>0</v>
      </c>
      <c r="S167" s="9">
        <f>MROUND(R166/9*R167/2400+2,5)</f>
        <v>0</v>
      </c>
      <c r="T167">
        <f t="shared" si="77"/>
        <v>5</v>
      </c>
      <c r="U167">
        <f t="shared" si="78"/>
        <v>5</v>
      </c>
      <c r="V167" s="22">
        <f>LOOKUP(A157,Reference!$A$2:$X$2,Reference!$A$34:$X$34)</f>
        <v>614</v>
      </c>
      <c r="W167" s="22">
        <f>IF(AND(C166&gt;0,A157=1),1,0)+IF(AND(C166&gt;0,A157=4),1,0)+IF(A157=2,M175,0)</f>
        <v>1</v>
      </c>
      <c r="X167" s="22" t="str">
        <f>LOOKUP(B157,Reference!$A$2:$X$2,Reference!$A$34:$X$34)</f>
        <v>L.S.</v>
      </c>
      <c r="Y167" s="22" t="str">
        <f>LOOKUP(C157,Reference!$A$2:$X$2,Reference!$A$34:$X$34)</f>
        <v>Maintaining Traffic</v>
      </c>
      <c r="Z167" s="22"/>
      <c r="AA167" s="22">
        <f>LOOKUP(D157,Reference!$A$2:$X$2,Reference!$A$34:$X$34)</f>
        <v>0</v>
      </c>
      <c r="AB167" s="22"/>
      <c r="AC167" s="22"/>
      <c r="AD167" s="22"/>
      <c r="AE167" s="1">
        <f t="shared" si="66"/>
        <v>614</v>
      </c>
      <c r="AF167" s="1">
        <f t="shared" si="67"/>
        <v>1</v>
      </c>
      <c r="AG167" s="1" t="str">
        <f t="shared" si="68"/>
        <v>L.S.</v>
      </c>
      <c r="AH167" s="1" t="str">
        <f t="shared" si="69"/>
        <v>Maintaining Traffic</v>
      </c>
      <c r="AI167" s="1">
        <f t="shared" si="70"/>
      </c>
      <c r="AJ167" s="1">
        <f t="shared" si="71"/>
      </c>
      <c r="AK167" s="1">
        <f t="shared" si="72"/>
      </c>
      <c r="AL167" s="1">
        <f t="shared" si="73"/>
      </c>
      <c r="AM167" s="1">
        <f t="shared" si="74"/>
      </c>
      <c r="AN167" s="1"/>
      <c r="AO167" s="27">
        <f>LOOKUP(F157,Reference!A$2:X$2,Reference!$A$34:$X$34)</f>
        <v>2000</v>
      </c>
      <c r="AP167" s="30">
        <v>3000</v>
      </c>
      <c r="AQ167" s="27">
        <f t="shared" si="75"/>
        <v>3000</v>
      </c>
      <c r="AR167" s="1" t="str">
        <f t="shared" si="76"/>
        <v>Maintaining Traffic</v>
      </c>
    </row>
    <row r="168" spans="1:44" ht="12.75">
      <c r="A168" s="3" t="str">
        <f>LOOKUP(A157,Reference!$A$2:$X$2,Reference!A$13:X$13)</f>
        <v>Surface Course</v>
      </c>
      <c r="B168" s="3"/>
      <c r="C168" s="5">
        <v>1.25</v>
      </c>
      <c r="D168" t="str">
        <f>LOOKUP(C157,Reference!$A$2:$X$2,Reference!A$13:X$13)</f>
        <v>inches</v>
      </c>
      <c r="H168" s="7"/>
      <c r="I168" s="11"/>
      <c r="J168" s="13">
        <f>MROUND(I166*C168/12*1/27+0.4,1)</f>
        <v>270</v>
      </c>
      <c r="K168" s="3" t="s">
        <v>54</v>
      </c>
      <c r="M168">
        <f>MROUND(L167*C168/12*1/27,1)</f>
        <v>0</v>
      </c>
      <c r="N168" s="18" t="s">
        <v>64</v>
      </c>
      <c r="O168" s="11">
        <f>IF(A157=3,C168,0)</f>
        <v>0</v>
      </c>
      <c r="P168" s="9">
        <f>MROUND(O168*O166/9+2.4,5)</f>
        <v>0</v>
      </c>
      <c r="Q168" s="18" t="s">
        <v>78</v>
      </c>
      <c r="R168" s="11">
        <f>IF(A157=4,C168,0)</f>
        <v>0</v>
      </c>
      <c r="S168" s="9">
        <f>MROUND(R168*R166/9+2.4,5)</f>
        <v>0</v>
      </c>
      <c r="T168">
        <f t="shared" si="77"/>
        <v>6</v>
      </c>
      <c r="U168">
        <f t="shared" si="78"/>
        <v>6</v>
      </c>
      <c r="V168" s="22">
        <f>LOOKUP(A157,Reference!$A$2:$X$2,Reference!$A$35:$X$35)</f>
        <v>624</v>
      </c>
      <c r="W168" s="22">
        <f>IF(AND(C166&gt;0,A157=1),1,0)+IF(AND(C166&gt;0,A157=4),1,0)+IF(AND(A157=2,C175=424),M169,0)</f>
        <v>1</v>
      </c>
      <c r="X168" s="22" t="str">
        <f>LOOKUP(B157,Reference!$A$2:$X$2,Reference!$A$35:$X$35)</f>
        <v>L.S.</v>
      </c>
      <c r="Y168" s="22" t="str">
        <f>LOOKUP(C157,Reference!$A$2:$X$2,Reference!$A$35:$X$35)</f>
        <v>Mobilization</v>
      </c>
      <c r="Z168" s="22">
        <f>IF(AND(A157=2,C175=424),C169,0)</f>
        <v>0</v>
      </c>
      <c r="AA168" s="22">
        <f>LOOKUP(D157,Reference!$A$2:$X$2,Reference!$A$35:$X$35)</f>
        <v>0</v>
      </c>
      <c r="AB168" s="22"/>
      <c r="AC168" s="22"/>
      <c r="AD168" s="22"/>
      <c r="AE168" s="1">
        <f t="shared" si="66"/>
        <v>624</v>
      </c>
      <c r="AF168" s="1">
        <f t="shared" si="67"/>
        <v>1</v>
      </c>
      <c r="AG168" s="1" t="str">
        <f t="shared" si="68"/>
        <v>L.S.</v>
      </c>
      <c r="AH168" s="1" t="str">
        <f t="shared" si="69"/>
        <v>Mobilization</v>
      </c>
      <c r="AI168" s="1">
        <f t="shared" si="70"/>
      </c>
      <c r="AJ168" s="1">
        <f t="shared" si="71"/>
      </c>
      <c r="AK168" s="1">
        <f t="shared" si="72"/>
      </c>
      <c r="AL168" s="1">
        <f t="shared" si="73"/>
      </c>
      <c r="AM168" s="1">
        <f t="shared" si="74"/>
      </c>
      <c r="AN168" s="1"/>
      <c r="AO168" s="27">
        <f>LOOKUP(F157,Reference!A$2:X$2,Reference!$A$35:$X$35)</f>
        <v>3000</v>
      </c>
      <c r="AP168" s="30">
        <v>1500</v>
      </c>
      <c r="AQ168" s="27">
        <f t="shared" si="75"/>
        <v>1500</v>
      </c>
      <c r="AR168" s="1" t="str">
        <f t="shared" si="76"/>
        <v>Mobilization</v>
      </c>
    </row>
    <row r="169" spans="1:44" ht="12.75">
      <c r="A169" s="3" t="str">
        <f>LOOKUP(A157,Reference!$A$2:$X$2,Reference!A$14:X$14)</f>
        <v>Type of Surface </v>
      </c>
      <c r="B169" s="3"/>
      <c r="C169" s="5">
        <v>823</v>
      </c>
      <c r="D169" t="str">
        <f>LOOKUP(C157,Reference!$A$2:$X$2,Reference!A$14:X$14)</f>
        <v>(424, 823, 448)</v>
      </c>
      <c r="H169" s="12" t="s">
        <v>88</v>
      </c>
      <c r="I169" s="11">
        <v>0.05</v>
      </c>
      <c r="J169" s="9">
        <f>MROUND(I169*I166/9,5)</f>
        <v>390</v>
      </c>
      <c r="K169" s="8" t="s">
        <v>55</v>
      </c>
      <c r="M169">
        <f>MROUND(L167*C169/12*1/27,1)</f>
        <v>0</v>
      </c>
      <c r="N169" s="12" t="s">
        <v>69</v>
      </c>
      <c r="O169" s="11">
        <f>IF(A157=3,C169,0)</f>
        <v>0</v>
      </c>
      <c r="P169" s="9"/>
      <c r="Q169" s="12" t="s">
        <v>79</v>
      </c>
      <c r="R169" s="11">
        <f>IF(A157=4,C169,0)</f>
        <v>0</v>
      </c>
      <c r="S169" s="9"/>
      <c r="T169">
        <f t="shared" si="77"/>
        <v>7</v>
      </c>
      <c r="U169">
        <f t="shared" si="78"/>
        <v>7</v>
      </c>
      <c r="V169" s="22">
        <f>LOOKUP(A157,Reference!$A$2:$X$2,Reference!$A$36:$X$36)</f>
        <v>103.05</v>
      </c>
      <c r="W169" s="22">
        <f>+IF(A157=2,M162,0)+IF(AND(C166&gt;0,A157=1),1,0)</f>
        <v>1</v>
      </c>
      <c r="X169" s="22" t="str">
        <f>LOOKUP(B157,Reference!$A$2:$X$2,Reference!$A$36:$X$36)</f>
        <v>L.S.</v>
      </c>
      <c r="Y169" s="22" t="str">
        <f>LOOKUP(C157,Reference!$A$2:$X$2,Reference!$A$36:$X$36)</f>
        <v>Contract Performance &amp; Payment Bond</v>
      </c>
      <c r="Z169" s="22">
        <f>IF(A157=2,C163,0)</f>
        <v>0</v>
      </c>
      <c r="AA169" s="22">
        <f>LOOKUP(D157,Reference!$A$2:$X$2,Reference!$A$36:$X$36)</f>
        <v>0</v>
      </c>
      <c r="AB169" s="22"/>
      <c r="AC169" s="22"/>
      <c r="AD169" s="22"/>
      <c r="AE169" s="1">
        <f t="shared" si="66"/>
        <v>103.05</v>
      </c>
      <c r="AF169" s="1">
        <f t="shared" si="67"/>
        <v>1</v>
      </c>
      <c r="AG169" s="1" t="str">
        <f t="shared" si="68"/>
        <v>L.S.</v>
      </c>
      <c r="AH169" s="1" t="str">
        <f t="shared" si="69"/>
        <v>Contract Performance &amp; Payment Bond</v>
      </c>
      <c r="AI169" s="1">
        <f t="shared" si="70"/>
      </c>
      <c r="AJ169" s="1">
        <f t="shared" si="71"/>
      </c>
      <c r="AK169" s="1">
        <f t="shared" si="72"/>
      </c>
      <c r="AL169" s="1">
        <f t="shared" si="73"/>
      </c>
      <c r="AM169" s="1">
        <f t="shared" si="74"/>
      </c>
      <c r="AN169" s="1"/>
      <c r="AO169" s="27">
        <f>LOOKUP(F157,Reference!A$2:X$2,Reference!$A$36:$X$36)</f>
        <v>1000</v>
      </c>
      <c r="AP169" s="30">
        <v>1002</v>
      </c>
      <c r="AQ169" s="27">
        <f t="shared" si="75"/>
        <v>1002</v>
      </c>
      <c r="AR169" s="1" t="str">
        <f t="shared" si="76"/>
        <v>Contract Performance &amp; Payment Bond</v>
      </c>
    </row>
    <row r="170" spans="1:44" ht="12.75">
      <c r="A170" s="3">
        <f>LOOKUP(A157,Reference!$A$2:$X$2,Reference!A$15:X$15)</f>
        <v>0</v>
      </c>
      <c r="B170" s="3"/>
      <c r="C170" s="5">
        <v>0</v>
      </c>
      <c r="D170">
        <f>LOOKUP(C157,Reference!$A$2:$X$2,Reference!A$15:X$15)</f>
        <v>0</v>
      </c>
      <c r="H170" s="12" t="s">
        <v>89</v>
      </c>
      <c r="I170" s="11">
        <f>IF(C167&gt;0.1,0.05,0)</f>
        <v>0.05</v>
      </c>
      <c r="J170" s="9">
        <f>IF(AND(A157=1,NOT(C169=424)),MROUND(I170*I166/9,5),0)</f>
        <v>390</v>
      </c>
      <c r="K170" s="15" t="s">
        <v>57</v>
      </c>
      <c r="L170">
        <f>IF(A157=2,C167*C170,0)</f>
        <v>0</v>
      </c>
      <c r="M170">
        <f>MROUND(L170*C171/12*1/27,1)</f>
        <v>0</v>
      </c>
      <c r="N170" s="12" t="s">
        <v>59</v>
      </c>
      <c r="O170" s="11">
        <f>IF(A157=3,C170,0)</f>
        <v>0</v>
      </c>
      <c r="P170" s="9">
        <f>MROUND(O170*O166/9+2.4,5)</f>
        <v>0</v>
      </c>
      <c r="Q170" s="18" t="s">
        <v>80</v>
      </c>
      <c r="R170" s="8">
        <f>IF(A157=4,C170,0)</f>
        <v>0</v>
      </c>
      <c r="S170" s="9">
        <f>MROUND(R166/9*R170/2400+2,5)</f>
        <v>0</v>
      </c>
      <c r="T170">
        <f t="shared" si="77"/>
        <v>7.00001</v>
      </c>
      <c r="U170">
        <f t="shared" si="78"/>
        <v>7</v>
      </c>
      <c r="V170" s="22">
        <f>LOOKUP(A157,Reference!$A$2:$X$2,Reference!$A$37:$X$37)</f>
        <v>0</v>
      </c>
      <c r="W170" s="22">
        <f>IF(A157=2,L164,0)</f>
        <v>0</v>
      </c>
      <c r="X170" s="22">
        <f>LOOKUP(B157,Reference!$A$2:$X$2,Reference!$A$37:$X$37)</f>
        <v>0</v>
      </c>
      <c r="Y170" s="22">
        <f>LOOKUP(C157,Reference!$A$2:$X$2,Reference!$A$37:$X$37)</f>
        <v>0</v>
      </c>
      <c r="Z170" s="22">
        <f>IF(A157=2,M164,0)</f>
        <v>0</v>
      </c>
      <c r="AA170" s="22">
        <f>LOOKUP(D157,Reference!$A$2:$X$2,Reference!$A$37:$X$37)</f>
        <v>0</v>
      </c>
      <c r="AB170" s="22"/>
      <c r="AC170" s="22"/>
      <c r="AD170" s="22"/>
      <c r="AE170" s="1">
        <f t="shared" si="66"/>
      </c>
      <c r="AF170" s="1">
        <f t="shared" si="67"/>
      </c>
      <c r="AG170" s="1">
        <f t="shared" si="68"/>
      </c>
      <c r="AH170" s="1">
        <f t="shared" si="69"/>
      </c>
      <c r="AI170" s="1">
        <f t="shared" si="70"/>
      </c>
      <c r="AJ170" s="1">
        <f t="shared" si="71"/>
      </c>
      <c r="AK170" s="1">
        <f t="shared" si="72"/>
      </c>
      <c r="AL170" s="1">
        <f t="shared" si="73"/>
      </c>
      <c r="AM170" s="1">
        <f t="shared" si="74"/>
      </c>
      <c r="AN170" s="1"/>
      <c r="AO170" s="27">
        <f>LOOKUP(F157,Reference!A$2:X$2,Reference!$A$37:$X$37)</f>
        <v>0</v>
      </c>
      <c r="AP170" s="30"/>
      <c r="AQ170" s="27">
        <f t="shared" si="75"/>
        <v>0</v>
      </c>
      <c r="AR170" s="1">
        <f t="shared" si="76"/>
      </c>
    </row>
    <row r="171" spans="1:44" ht="12.75">
      <c r="A171" s="3">
        <f>LOOKUP(A157,Reference!$A$2:$X$2,Reference!A$16:X$16)</f>
        <v>0</v>
      </c>
      <c r="B171" s="3"/>
      <c r="C171" s="5">
        <v>0</v>
      </c>
      <c r="D171">
        <f>LOOKUP(C157,Reference!$A$2:$X$2,Reference!A$16:X$16)</f>
        <v>0</v>
      </c>
      <c r="H171" s="16" t="s">
        <v>132</v>
      </c>
      <c r="I171" s="11">
        <v>0.05</v>
      </c>
      <c r="J171" s="9">
        <f>IF(AND(A157=1,C169=424),MROUND(I171*I166/9,5),0)</f>
        <v>0</v>
      </c>
      <c r="K171" s="15" t="s">
        <v>96</v>
      </c>
      <c r="L171">
        <f>IF(A157=2,C172,0)</f>
        <v>0</v>
      </c>
      <c r="N171" s="7"/>
      <c r="O171" s="11"/>
      <c r="P171" s="9"/>
      <c r="Q171" s="18" t="s">
        <v>81</v>
      </c>
      <c r="R171" s="11">
        <f>IF(A157=4,C171,0)</f>
        <v>0</v>
      </c>
      <c r="S171" s="9">
        <f>MROUND(R171*R166/9+2.4,5)</f>
        <v>0</v>
      </c>
      <c r="T171">
        <f t="shared" si="77"/>
        <v>7.000019999999999</v>
      </c>
      <c r="U171">
        <f t="shared" si="78"/>
        <v>7</v>
      </c>
      <c r="V171" s="22">
        <f>LOOKUP(A157,Reference!$A$2:$X$2,Reference!$A$38:$X$38)</f>
        <v>0</v>
      </c>
      <c r="W171" s="22">
        <f>IF(AND(C167&gt;0,A157=2),1,0)</f>
        <v>0</v>
      </c>
      <c r="X171" s="22">
        <f>LOOKUP(B157,Reference!$A$2:$X$2,Reference!$A$38:$X$38)</f>
        <v>0</v>
      </c>
      <c r="Y171" s="22">
        <f>LOOKUP(C157,Reference!$A$2:$X$2,Reference!$A$38:$X$38)</f>
        <v>0</v>
      </c>
      <c r="Z171" s="22"/>
      <c r="AA171" s="22">
        <f>LOOKUP(D157,Reference!$A$2:$X$2,Reference!$A$38:$X$38)</f>
        <v>0</v>
      </c>
      <c r="AB171" s="22"/>
      <c r="AC171" s="22"/>
      <c r="AD171" s="22"/>
      <c r="AE171" s="1">
        <f t="shared" si="66"/>
      </c>
      <c r="AF171" s="1">
        <f t="shared" si="67"/>
      </c>
      <c r="AG171" s="1">
        <f t="shared" si="68"/>
      </c>
      <c r="AH171" s="1">
        <f t="shared" si="69"/>
      </c>
      <c r="AI171" s="1">
        <f t="shared" si="70"/>
      </c>
      <c r="AJ171" s="1">
        <f t="shared" si="71"/>
      </c>
      <c r="AK171" s="1">
        <f t="shared" si="72"/>
      </c>
      <c r="AL171" s="1">
        <f t="shared" si="73"/>
      </c>
      <c r="AM171" s="1">
        <f t="shared" si="74"/>
      </c>
      <c r="AN171" s="1"/>
      <c r="AO171" s="27">
        <f>LOOKUP(F157,Reference!A$2:X$2,Reference!$A$38:$X$38)</f>
        <v>0</v>
      </c>
      <c r="AP171" s="30"/>
      <c r="AQ171" s="27">
        <f t="shared" si="75"/>
        <v>0</v>
      </c>
      <c r="AR171" s="1">
        <f t="shared" si="76"/>
      </c>
    </row>
    <row r="172" spans="1:44" ht="12.75">
      <c r="A172" s="3">
        <f>LOOKUP(A157,Reference!$A$2:$X$2,Reference!A$17:X$17)</f>
        <v>0</v>
      </c>
      <c r="B172" s="3"/>
      <c r="C172" s="4">
        <v>0</v>
      </c>
      <c r="D172">
        <f>LOOKUP(C157,Reference!$A$2:$X$2,Reference!A$17:X$17)</f>
        <v>0</v>
      </c>
      <c r="H172" s="12" t="s">
        <v>116</v>
      </c>
      <c r="I172" s="11">
        <f>IF(A157=1,C166,0)</f>
        <v>5325</v>
      </c>
      <c r="J172" s="9"/>
      <c r="K172" s="15" t="s">
        <v>91</v>
      </c>
      <c r="L172">
        <f>IF(A157=2,C173,0)</f>
        <v>0</v>
      </c>
      <c r="N172" s="12" t="s">
        <v>116</v>
      </c>
      <c r="O172" s="11">
        <f>IF(A157=3,C166,0)</f>
        <v>0</v>
      </c>
      <c r="P172" s="9"/>
      <c r="Q172" s="12" t="s">
        <v>82</v>
      </c>
      <c r="R172" s="11">
        <f>IF(A157=4,C172,0)</f>
        <v>0</v>
      </c>
      <c r="S172" s="9"/>
      <c r="T172">
        <f t="shared" si="77"/>
        <v>7.000029999999999</v>
      </c>
      <c r="U172">
        <f t="shared" si="78"/>
        <v>7</v>
      </c>
      <c r="V172" s="22">
        <f>LOOKUP(A157,Reference!$A$2:$X$2,Reference!$A$39:$X$39)</f>
        <v>0</v>
      </c>
      <c r="W172" s="22">
        <f>IF(AND(C167&gt;0,A157=2),1,0)</f>
        <v>0</v>
      </c>
      <c r="X172" s="22">
        <f>LOOKUP(B157,Reference!$A$2:$X$2,Reference!$A$39:$X$39)</f>
        <v>0</v>
      </c>
      <c r="Y172" s="22">
        <f>LOOKUP(C157,Reference!$A$2:$X$2,Reference!$A$39:$X$39)</f>
        <v>0</v>
      </c>
      <c r="Z172" s="22"/>
      <c r="AA172" s="22">
        <f>LOOKUP(D157,Reference!$A$2:$X$2,Reference!$A$39:$X$39)</f>
        <v>0</v>
      </c>
      <c r="AB172" s="22"/>
      <c r="AC172" s="22"/>
      <c r="AD172" s="22"/>
      <c r="AE172" s="1">
        <f t="shared" si="66"/>
      </c>
      <c r="AF172" s="1">
        <f t="shared" si="67"/>
      </c>
      <c r="AG172" s="1">
        <f t="shared" si="68"/>
      </c>
      <c r="AH172" s="1">
        <f t="shared" si="69"/>
      </c>
      <c r="AI172" s="1">
        <f t="shared" si="70"/>
      </c>
      <c r="AJ172" s="1">
        <f t="shared" si="71"/>
      </c>
      <c r="AK172" s="1">
        <f t="shared" si="72"/>
      </c>
      <c r="AL172" s="1">
        <f t="shared" si="73"/>
      </c>
      <c r="AM172" s="1">
        <f t="shared" si="74"/>
      </c>
      <c r="AN172" s="1"/>
      <c r="AO172" s="27">
        <f>LOOKUP(F157,Reference!A$2:X$2,Reference!$A$39:$X$39)</f>
        <v>0</v>
      </c>
      <c r="AP172" s="30"/>
      <c r="AQ172" s="27">
        <f t="shared" si="75"/>
        <v>0</v>
      </c>
      <c r="AR172" s="1">
        <f t="shared" si="76"/>
      </c>
    </row>
    <row r="173" spans="1:44" ht="12.75">
      <c r="A173" s="3">
        <f>LOOKUP(A157,Reference!$A$2:$X$2,Reference!A$18:O$18)</f>
        <v>0</v>
      </c>
      <c r="B173" s="3"/>
      <c r="C173" s="5">
        <v>0</v>
      </c>
      <c r="D173">
        <f>LOOKUP(C157,Reference!$A$2:$X$2,Reference!A$18:X$18)</f>
        <v>0</v>
      </c>
      <c r="H173" s="12" t="s">
        <v>117</v>
      </c>
      <c r="I173" s="11">
        <f>IF(A157=1,C165,0)</f>
        <v>13</v>
      </c>
      <c r="J173" s="9"/>
      <c r="K173" s="16" t="s">
        <v>88</v>
      </c>
      <c r="L173">
        <v>0.05</v>
      </c>
      <c r="M173">
        <f>MROUND(L173*L167/9,5)</f>
        <v>0</v>
      </c>
      <c r="N173" s="12" t="s">
        <v>117</v>
      </c>
      <c r="O173" s="11">
        <f>IF(A157=3,C165,0)</f>
        <v>0</v>
      </c>
      <c r="P173" s="9"/>
      <c r="Q173" s="12" t="s">
        <v>59</v>
      </c>
      <c r="R173" s="11">
        <f>IF(A157=4,C173,0)</f>
        <v>0</v>
      </c>
      <c r="S173" s="9">
        <f>MROUND(R173*R166/9+2.4,5)</f>
        <v>0</v>
      </c>
      <c r="T173">
        <f t="shared" si="77"/>
        <v>7.0000399999999985</v>
      </c>
      <c r="U173">
        <f t="shared" si="78"/>
        <v>7</v>
      </c>
      <c r="V173" s="22">
        <f>LOOKUP(A157,Reference!$A$2:$X$2,Reference!$A$40:$X$40)</f>
        <v>0</v>
      </c>
      <c r="W173" s="22">
        <f>IF(AND(C167&gt;0,A157=2),1,0)</f>
        <v>0</v>
      </c>
      <c r="X173" s="22">
        <f>LOOKUP(B157,Reference!$A$2:$X$2,Reference!$A$40:$X$40)</f>
        <v>0</v>
      </c>
      <c r="Y173" s="22">
        <f>LOOKUP(C157,Reference!$A$2:$X$2,Reference!$A$40:$X$40)</f>
        <v>0</v>
      </c>
      <c r="Z173" s="22"/>
      <c r="AA173" s="22">
        <f>LOOKUP(D157,Reference!$A$2:$X$2,Reference!$A$40:$X$40)</f>
        <v>0</v>
      </c>
      <c r="AB173" s="22"/>
      <c r="AC173" s="22"/>
      <c r="AD173" s="22"/>
      <c r="AE173" s="1">
        <f t="shared" si="66"/>
      </c>
      <c r="AF173" s="1">
        <f t="shared" si="67"/>
      </c>
      <c r="AG173" s="1">
        <f t="shared" si="68"/>
      </c>
      <c r="AH173" s="1">
        <f t="shared" si="69"/>
      </c>
      <c r="AI173" s="1">
        <f t="shared" si="70"/>
      </c>
      <c r="AJ173" s="1">
        <f t="shared" si="71"/>
      </c>
      <c r="AK173" s="1">
        <f t="shared" si="72"/>
      </c>
      <c r="AL173" s="1">
        <f t="shared" si="73"/>
      </c>
      <c r="AM173" s="1">
        <f t="shared" si="74"/>
      </c>
      <c r="AN173" s="1"/>
      <c r="AO173" s="27">
        <f>LOOKUP(F157,Reference!A$2:X$2,Reference!$A$40:$X$40)</f>
        <v>0</v>
      </c>
      <c r="AP173" s="30"/>
      <c r="AQ173" s="27">
        <f t="shared" si="75"/>
        <v>0</v>
      </c>
      <c r="AR173" s="1">
        <f t="shared" si="76"/>
      </c>
    </row>
    <row r="174" spans="1:44" ht="12.75">
      <c r="A174" s="3">
        <f>LOOKUP(A157,Reference!$A$2:$X$2,Reference!A$19:O$19)</f>
        <v>0</v>
      </c>
      <c r="B174" s="3"/>
      <c r="C174" s="4"/>
      <c r="D174">
        <f>LOOKUP(C157,Reference!$A$2:$X$2,Reference!A$19:X$19)</f>
        <v>0</v>
      </c>
      <c r="H174" s="7"/>
      <c r="I174" s="11"/>
      <c r="J174" s="9"/>
      <c r="K174" s="16" t="s">
        <v>89</v>
      </c>
      <c r="L174">
        <f>IF(C168&gt;0.1,0.05,0)</f>
        <v>0.05</v>
      </c>
      <c r="M174">
        <f>IF(NOT(C175=424),MROUND(L174*L167/9,5),0)</f>
        <v>0</v>
      </c>
      <c r="N174" s="7"/>
      <c r="O174" s="11"/>
      <c r="P174" s="9"/>
      <c r="R174" s="11"/>
      <c r="S174" s="9"/>
      <c r="T174">
        <f t="shared" si="77"/>
        <v>7.000049999999998</v>
      </c>
      <c r="U174">
        <f t="shared" si="78"/>
        <v>7</v>
      </c>
      <c r="V174" s="22">
        <f>LOOKUP(A157,Reference!$A$2:$X$2,Reference!$A$41:$X$41)</f>
        <v>0</v>
      </c>
      <c r="W174" s="22"/>
      <c r="X174" s="22">
        <f>LOOKUP(B157,Reference!$A$2:$X$2,Reference!$A$41:$X$41)</f>
        <v>0</v>
      </c>
      <c r="Y174" s="22">
        <f>LOOKUP(C157,Reference!$A$2:$X$2,Reference!$A$41:$X$41)</f>
        <v>0</v>
      </c>
      <c r="Z174" s="22"/>
      <c r="AA174" s="22">
        <f>LOOKUP(D157,Reference!$A$2:$X$2,Reference!$A$41:$X$41)</f>
        <v>0</v>
      </c>
      <c r="AB174" s="22"/>
      <c r="AC174" s="22"/>
      <c r="AD174" s="22"/>
      <c r="AE174" s="1">
        <f t="shared" si="66"/>
      </c>
      <c r="AF174" s="1">
        <f t="shared" si="67"/>
      </c>
      <c r="AG174" s="1">
        <f t="shared" si="68"/>
      </c>
      <c r="AH174" s="1">
        <f t="shared" si="69"/>
      </c>
      <c r="AI174" s="1">
        <f t="shared" si="70"/>
      </c>
      <c r="AJ174" s="1">
        <f t="shared" si="71"/>
      </c>
      <c r="AK174" s="1">
        <f t="shared" si="72"/>
      </c>
      <c r="AL174" s="1">
        <f t="shared" si="73"/>
      </c>
      <c r="AM174" s="1">
        <f t="shared" si="74"/>
      </c>
      <c r="AN174" s="1"/>
      <c r="AO174" s="27">
        <f>LOOKUP(F157,Reference!A$2:X$2,Reference!$A$41:$X$41)</f>
        <v>0</v>
      </c>
      <c r="AP174" s="30"/>
      <c r="AQ174" s="27">
        <f t="shared" si="75"/>
        <v>0</v>
      </c>
      <c r="AR174" s="1">
        <f t="shared" si="76"/>
      </c>
    </row>
    <row r="175" spans="1:44" ht="12.75">
      <c r="A175" s="3">
        <f>LOOKUP(A157,Reference!$A$2:$X$2,Reference!A$20:X$20)</f>
        <v>0</v>
      </c>
      <c r="B175" s="3"/>
      <c r="C175" s="5"/>
      <c r="D175">
        <f>LOOKUP(C157,Reference!$A$2:$X$2,Reference!A$20:X$20)</f>
        <v>0</v>
      </c>
      <c r="H175" s="7"/>
      <c r="I175" s="11"/>
      <c r="J175" s="9"/>
      <c r="K175" s="16" t="s">
        <v>132</v>
      </c>
      <c r="L175">
        <f>IF(C168&gt;0.1,0.08,0)</f>
        <v>0.08</v>
      </c>
      <c r="M175">
        <f>IF(C175=424,MROUND(L175*L167/9,5),0)</f>
        <v>0</v>
      </c>
      <c r="N175" s="12"/>
      <c r="O175" s="11"/>
      <c r="P175" s="19"/>
      <c r="Q175" s="12" t="s">
        <v>116</v>
      </c>
      <c r="R175" s="11">
        <f>IF(A157=4,C166,0)</f>
        <v>0</v>
      </c>
      <c r="S175" s="9"/>
      <c r="T175">
        <f t="shared" si="77"/>
        <v>7.000059999999998</v>
      </c>
      <c r="U175">
        <f t="shared" si="78"/>
        <v>7</v>
      </c>
      <c r="V175" s="22">
        <f>LOOKUP(A157,Reference!$A$2:$X$2,Reference!$A$42:$X$42)</f>
        <v>0</v>
      </c>
      <c r="W175" s="22"/>
      <c r="X175" s="22">
        <f>LOOKUP(B157,Reference!$A$2:$X$2,Reference!$A$42:$X$42)</f>
        <v>0</v>
      </c>
      <c r="Y175" s="22">
        <f>LOOKUP(C157,Reference!$A$2:$X$2,Reference!$A$42:$X$42)</f>
        <v>0</v>
      </c>
      <c r="Z175" s="22"/>
      <c r="AA175" s="22">
        <f>LOOKUP(D157,Reference!$A$2:$X$2,Reference!$A$42:$X$42)</f>
        <v>0</v>
      </c>
      <c r="AB175" s="22"/>
      <c r="AC175" s="22"/>
      <c r="AD175" s="22"/>
      <c r="AE175" s="1">
        <f t="shared" si="66"/>
      </c>
      <c r="AF175" s="1">
        <f t="shared" si="67"/>
      </c>
      <c r="AG175" s="1">
        <f t="shared" si="68"/>
      </c>
      <c r="AH175" s="1">
        <f t="shared" si="69"/>
      </c>
      <c r="AI175" s="1">
        <f t="shared" si="70"/>
      </c>
      <c r="AJ175" s="1">
        <f t="shared" si="71"/>
      </c>
      <c r="AK175" s="1">
        <f t="shared" si="72"/>
      </c>
      <c r="AL175" s="1">
        <f t="shared" si="73"/>
      </c>
      <c r="AM175" s="1">
        <f t="shared" si="74"/>
      </c>
      <c r="AN175" s="1"/>
      <c r="AO175" s="27">
        <f>LOOKUP(F157,Reference!A$2:X$2,Reference!$A$42:$X$42)</f>
        <v>0</v>
      </c>
      <c r="AP175" s="30"/>
      <c r="AQ175" s="27">
        <f t="shared" si="75"/>
        <v>0</v>
      </c>
      <c r="AR175" s="1">
        <f t="shared" si="76"/>
      </c>
    </row>
    <row r="176" spans="1:44" ht="12.75">
      <c r="A176" s="3">
        <f>LOOKUP(A157,Reference!$A$2:$X$2,Reference!A$21:X$21)</f>
        <v>0</v>
      </c>
      <c r="B176" s="3"/>
      <c r="C176" s="5"/>
      <c r="D176">
        <f>LOOKUP(C157,Reference!$A$2:$X$2,Reference!A$21:X$21)</f>
        <v>0</v>
      </c>
      <c r="H176" s="7"/>
      <c r="I176" s="11"/>
      <c r="J176" s="9"/>
      <c r="K176" s="16" t="s">
        <v>101</v>
      </c>
      <c r="L176">
        <f>MROUND(L170/9,5)</f>
        <v>0</v>
      </c>
      <c r="N176" s="7"/>
      <c r="O176" s="11"/>
      <c r="P176" s="9"/>
      <c r="Q176" s="12" t="s">
        <v>117</v>
      </c>
      <c r="R176" s="11">
        <f>IF(A157=4,C165,0)</f>
        <v>0</v>
      </c>
      <c r="S176" s="9"/>
      <c r="V176" s="3" t="s">
        <v>98</v>
      </c>
      <c r="W176">
        <f>MROUND(SUM(R166,O166,L167,I166)/9,5)</f>
        <v>7750</v>
      </c>
      <c r="AO176" s="26"/>
      <c r="AP176" s="26"/>
      <c r="AQ176" s="26"/>
      <c r="AR176" s="1">
        <f>CONCATENATE(AH176,AI176,AJ176,AK176,,AM176,AN176)</f>
      </c>
    </row>
    <row r="177" spans="1:28" ht="12.75">
      <c r="A177" s="3">
        <f>LOOKUP(A157,Reference!$A$2:$X$2,Reference!C$22:X$22)</f>
        <v>0</v>
      </c>
      <c r="B177" s="3"/>
      <c r="C177" s="5"/>
      <c r="D177">
        <f>LOOKUP(C157,Reference!$A$2:$X$2,Reference!C$22:X$22)</f>
        <v>0</v>
      </c>
      <c r="H177" s="7"/>
      <c r="I177" s="11"/>
      <c r="J177" s="9"/>
      <c r="K177" s="12" t="s">
        <v>116</v>
      </c>
      <c r="L177">
        <f>IF(A157=2,C167,0)</f>
        <v>0</v>
      </c>
      <c r="N177" s="7"/>
      <c r="O177" s="11"/>
      <c r="P177" s="9"/>
      <c r="R177" s="11"/>
      <c r="S177" s="9"/>
      <c r="V177" s="3" t="s">
        <v>118</v>
      </c>
      <c r="W177">
        <f>R175+O172+L177+I172</f>
        <v>5325</v>
      </c>
      <c r="X177" s="3" t="s">
        <v>121</v>
      </c>
      <c r="Y177">
        <f>MROUND(W177/5280,0.01)</f>
        <v>1.01</v>
      </c>
      <c r="Z177" s="3" t="s">
        <v>120</v>
      </c>
      <c r="AB177" t="str">
        <f>CONCATENATE(V177,W177,X177,Y177,Z177)</f>
        <v>Length:  5325 Feet or 1.01 Mile(s)</v>
      </c>
    </row>
    <row r="178" spans="1:28" ht="12.75">
      <c r="A178" s="3">
        <f>LOOKUP(A157,Reference!$A$2:$X$2,Reference!A$23:X$23)</f>
        <v>0</v>
      </c>
      <c r="B178" s="3"/>
      <c r="C178" s="5"/>
      <c r="D178">
        <f>LOOKUP(C157,Reference!$A$2:$X$2,Reference!A$23:X$23)</f>
        <v>0</v>
      </c>
      <c r="H178" s="7"/>
      <c r="I178" s="11"/>
      <c r="J178" s="9"/>
      <c r="K178" s="12" t="s">
        <v>117</v>
      </c>
      <c r="L178">
        <f>IF(A157=2,C166,0)</f>
        <v>0</v>
      </c>
      <c r="N178" s="7"/>
      <c r="O178" s="11"/>
      <c r="P178" s="9"/>
      <c r="R178" s="11"/>
      <c r="S178" s="19"/>
      <c r="V178" s="3" t="s">
        <v>119</v>
      </c>
      <c r="W178">
        <f>R176+O173+L178+I173</f>
        <v>13</v>
      </c>
      <c r="X178" s="3" t="s">
        <v>122</v>
      </c>
      <c r="Y178" s="3" t="s">
        <v>123</v>
      </c>
      <c r="Z178" s="25">
        <f>W176</f>
        <v>7750</v>
      </c>
      <c r="AA178" s="3" t="s">
        <v>124</v>
      </c>
      <c r="AB178" t="str">
        <f>CONCATENATE(V178,W178,X178,Y178,Z178,AA178)</f>
        <v>Width:  13 Feet     (Approx. 7750 S.Y. including radius and driveway work)</v>
      </c>
    </row>
    <row r="179" spans="1:28" ht="12.75">
      <c r="A179" s="3">
        <f>LOOKUP(A157,Reference!$A$2:$X$2,Reference!A$24:X$24)</f>
        <v>0</v>
      </c>
      <c r="B179" s="3"/>
      <c r="C179" s="5"/>
      <c r="D179">
        <f>LOOKUP(C157,Reference!$A$2:$X$2,Reference!A$24:X$24)</f>
        <v>0</v>
      </c>
      <c r="H179" s="7">
        <f>IF(AND(A157=1,C169=424),"Type: ODOT Spec 424 Smooth Seal ","")</f>
      </c>
      <c r="I179" s="11" t="str">
        <f>IF(AND(A157=1,NOT(C169=424)),"Type: ODOT Spec 823 ","")</f>
        <v>Type: ODOT Spec 823 </v>
      </c>
      <c r="J179" s="9"/>
      <c r="K179" s="18">
        <f>IF(A157=2,"Type: ODOT Spec 448, with Spec 301 Widening ","")</f>
      </c>
      <c r="N179" s="7">
        <f>IF(A157=3,"Type: Chip Seal, 1997 ODOT Spec 409 ","")</f>
      </c>
      <c r="O179" s="11">
        <f>IF(O170&gt;0,"W/ Fog Seal","")</f>
      </c>
      <c r="P179" s="9"/>
      <c r="Q179">
        <f>IF(A157=4,"Type: Double Chip Seal, 1997 ODOT Spec 409 ","")</f>
      </c>
      <c r="R179" s="11">
        <f>IF(R173&gt;0,"W/ Fog Seal","")</f>
      </c>
      <c r="S179" s="9"/>
      <c r="V179" s="3">
        <f>IF(C162&gt;0,"W/ 617 Berm @ ","")</f>
      </c>
      <c r="W179" s="29">
        <f>IF(C162&gt;0,C162/12,"")</f>
      </c>
      <c r="X179" s="3">
        <f>IF(C162&gt;0," Feet Wide Each Side","")</f>
      </c>
      <c r="AB179" t="str">
        <f>CONCATENATE(H179,I179,J179,K179,L179,M179,N179,O179,P179,Q179,R179,S179,T179,U179,V179,W179,X179)</f>
        <v>Type: ODOT Spec 823 </v>
      </c>
    </row>
    <row r="187" spans="1:19" ht="12.75">
      <c r="A187" s="2" t="s">
        <v>138</v>
      </c>
      <c r="B187" s="3"/>
      <c r="C187" s="3" t="str">
        <f>"1 = Paving    2 = Paving-Widening     3= Chip Seal   4=Double Chip Seal"</f>
        <v>1 = Paving    2 = Paving-Widening     3= Chip Seal   4=Double Chip Seal</v>
      </c>
      <c r="I187">
        <f>I156</f>
        <v>1</v>
      </c>
      <c r="J187">
        <f>J156</f>
        <v>1.5</v>
      </c>
      <c r="L187">
        <f>L156</f>
        <v>2</v>
      </c>
      <c r="M187">
        <f>M156</f>
        <v>2.5</v>
      </c>
      <c r="O187">
        <f>O156</f>
        <v>3</v>
      </c>
      <c r="P187">
        <f>P156</f>
        <v>3.5</v>
      </c>
      <c r="R187">
        <f>R156</f>
        <v>4</v>
      </c>
      <c r="S187">
        <f>S156</f>
        <v>4.5</v>
      </c>
    </row>
    <row r="188" spans="1:19" ht="12.75">
      <c r="A188" s="6">
        <v>1</v>
      </c>
      <c r="B188" s="20">
        <f>A188+0.2</f>
        <v>1.2</v>
      </c>
      <c r="C188">
        <f>A188+0.5</f>
        <v>1.5</v>
      </c>
      <c r="D188">
        <f>A188+0.7</f>
        <v>1.7</v>
      </c>
      <c r="E188">
        <f>A188+0.8</f>
        <v>1.8</v>
      </c>
      <c r="F188">
        <f>A188+0.9</f>
        <v>1.9</v>
      </c>
      <c r="H188" s="7"/>
      <c r="I188" s="8" t="s">
        <v>37</v>
      </c>
      <c r="J188" s="9"/>
      <c r="K188" s="11"/>
      <c r="L188" t="s">
        <v>38</v>
      </c>
      <c r="N188" s="7"/>
      <c r="O188" s="8" t="s">
        <v>31</v>
      </c>
      <c r="P188" s="9"/>
      <c r="Q188" s="7"/>
      <c r="R188" s="8" t="s">
        <v>39</v>
      </c>
      <c r="S188" s="9"/>
    </row>
    <row r="189" spans="1:43" ht="12.75">
      <c r="A189" s="2" t="str">
        <f>LOOKUP(A188,Reference!$A$2:$S$2,Reference!A$3:S$3)</f>
        <v>Paving</v>
      </c>
      <c r="B189" s="2"/>
      <c r="H189" s="7"/>
      <c r="I189" s="10" t="s">
        <v>28</v>
      </c>
      <c r="J189" s="9"/>
      <c r="K189" s="11"/>
      <c r="L189" s="10" t="s">
        <v>28</v>
      </c>
      <c r="M189" s="11"/>
      <c r="N189" s="7"/>
      <c r="O189" s="10" t="s">
        <v>28</v>
      </c>
      <c r="P189" s="9"/>
      <c r="Q189" s="7"/>
      <c r="R189" s="10" t="s">
        <v>28</v>
      </c>
      <c r="S189" s="9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4" ht="12.75">
      <c r="A190" s="3" t="str">
        <f>LOOKUP(A188,Reference!$A$2:$X$2,Reference!A$4:X$4)</f>
        <v>Name</v>
      </c>
      <c r="B190" s="3"/>
      <c r="C190" s="4" t="s">
        <v>178</v>
      </c>
      <c r="D190" t="str">
        <f>"1st Length"</f>
        <v>1st Length</v>
      </c>
      <c r="E190" t="str">
        <f>"2nd Length"</f>
        <v>2nd Length</v>
      </c>
      <c r="F190" t="str">
        <f>"3rd Length"</f>
        <v>3rd Length</v>
      </c>
      <c r="G190" t="str">
        <f>"4th Length"</f>
        <v>4th Length</v>
      </c>
      <c r="H190" s="7"/>
      <c r="I190" s="11" t="s">
        <v>26</v>
      </c>
      <c r="J190" s="9" t="s">
        <v>50</v>
      </c>
      <c r="K190" s="11"/>
      <c r="L190" s="11" t="s">
        <v>26</v>
      </c>
      <c r="M190" s="8" t="s">
        <v>68</v>
      </c>
      <c r="N190" s="7"/>
      <c r="O190" s="11" t="s">
        <v>26</v>
      </c>
      <c r="P190" s="19" t="s">
        <v>67</v>
      </c>
      <c r="Q190" s="7"/>
      <c r="R190" s="11" t="s">
        <v>26</v>
      </c>
      <c r="S190" s="19" t="s">
        <v>67</v>
      </c>
      <c r="V190" s="23" t="s">
        <v>2</v>
      </c>
      <c r="W190" s="24" t="s">
        <v>86</v>
      </c>
      <c r="X190" s="24" t="s">
        <v>3</v>
      </c>
      <c r="Y190" s="24" t="s">
        <v>4</v>
      </c>
      <c r="Z190" s="21"/>
      <c r="AA190" s="22"/>
      <c r="AB190" s="22"/>
      <c r="AC190" s="22"/>
      <c r="AD190" s="2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27" t="s">
        <v>126</v>
      </c>
      <c r="AP190" s="27" t="s">
        <v>127</v>
      </c>
      <c r="AQ190" s="27" t="s">
        <v>128</v>
      </c>
      <c r="AR190" s="27" t="s">
        <v>4</v>
      </c>
    </row>
    <row r="191" spans="1:44" ht="12.75">
      <c r="A191" s="3" t="str">
        <f>LOOKUP(A188,Reference!$A$2:$X$2,Reference!A$5:X$5)</f>
        <v>Radii</v>
      </c>
      <c r="B191" s="3"/>
      <c r="C191" s="5">
        <v>26</v>
      </c>
      <c r="D191" t="str">
        <f>LOOKUP(C188,Reference!$A$2:$X$2,Reference!A$5:X$5)</f>
        <v>@ 10 SY Each</v>
      </c>
      <c r="H191" s="12" t="s">
        <v>47</v>
      </c>
      <c r="I191" s="11">
        <f>IF(A188=1,10*C191*9,0)</f>
        <v>2340</v>
      </c>
      <c r="J191" s="9"/>
      <c r="K191" s="12" t="s">
        <v>47</v>
      </c>
      <c r="L191">
        <f>IF(A188=2,10*C191*9,0)</f>
        <v>0</v>
      </c>
      <c r="N191" s="12" t="s">
        <v>47</v>
      </c>
      <c r="O191" s="11">
        <f>IF(A188=3,10*C191*9,0)</f>
        <v>0</v>
      </c>
      <c r="P191" s="9"/>
      <c r="Q191" s="12" t="s">
        <v>47</v>
      </c>
      <c r="R191" s="11">
        <f>IF(A188=4,10*C191*9,0)</f>
        <v>0</v>
      </c>
      <c r="S191" s="9"/>
      <c r="T191">
        <f>IF(W191&gt;0,1,0)</f>
        <v>1</v>
      </c>
      <c r="U191">
        <f>T191</f>
        <v>1</v>
      </c>
      <c r="V191" s="22">
        <f>LOOKUP(A188,Reference!$A$2:$X$2,Reference!$A$27:$X$27)</f>
        <v>407</v>
      </c>
      <c r="W191" s="22">
        <f>IF(A188=1,J200+J201,0)+IF(A188=2,L203,0)+IF(A188=3,P199,0)+IF(A188=4,S199,0)</f>
        <v>2280</v>
      </c>
      <c r="X191" s="22" t="str">
        <f>LOOKUP(B188,Reference!$A$2:$X$2,Reference!$A$27:$X$27)</f>
        <v>Gal</v>
      </c>
      <c r="Y191" s="22" t="str">
        <f>LOOKUP(C188,Reference!$A$2:$X$2,Reference!$A$27:X$27)</f>
        <v>Bituminous Tack Coat applied at 0.05 gallons per square yard</v>
      </c>
      <c r="Z191" s="22">
        <f>IF(A188=3,O199,0)+IF(A188=4,R199,0)</f>
        <v>0</v>
      </c>
      <c r="AA191" s="22">
        <f>LOOKUP(D188,Reference!$A$2:$X$2,Reference!$A$27:$X$27)</f>
        <v>0</v>
      </c>
      <c r="AB191" s="22"/>
      <c r="AC191" s="22"/>
      <c r="AD191" s="22"/>
      <c r="AE191" s="1">
        <f aca="true" t="shared" si="79" ref="AE191:AE206">IF(V191=0,"",V191)</f>
        <v>407</v>
      </c>
      <c r="AF191" s="1">
        <f aca="true" t="shared" si="80" ref="AF191:AF206">IF(W191=0,"",W191)</f>
        <v>2280</v>
      </c>
      <c r="AG191" s="1" t="str">
        <f aca="true" t="shared" si="81" ref="AG191:AG206">IF(X191=0,"",X191)</f>
        <v>Gal</v>
      </c>
      <c r="AH191" s="1" t="str">
        <f aca="true" t="shared" si="82" ref="AH191:AH206">IF(Y191=0,"",Y191)</f>
        <v>Bituminous Tack Coat applied at 0.05 gallons per square yard</v>
      </c>
      <c r="AI191" s="1">
        <f aca="true" t="shared" si="83" ref="AI191:AI206">IF(Z191=0,"",Z191)</f>
      </c>
      <c r="AJ191" s="1">
        <f aca="true" t="shared" si="84" ref="AJ191:AJ206">IF(AA191=0,"",AA191)</f>
      </c>
      <c r="AK191" s="1">
        <f aca="true" t="shared" si="85" ref="AK191:AK206">IF(AB191=0,"",AB191)</f>
      </c>
      <c r="AL191" s="1">
        <f aca="true" t="shared" si="86" ref="AL191:AL206">IF(AC191=0,"",AC191)</f>
      </c>
      <c r="AM191" s="1">
        <f aca="true" t="shared" si="87" ref="AM191:AM206">IF(AD191=0,"",AD191)</f>
      </c>
      <c r="AN191" s="1"/>
      <c r="AO191" s="27">
        <f>LOOKUP(F188,Reference!A$2:X$2,Reference!$A$27:$X$27)</f>
        <v>2.1</v>
      </c>
      <c r="AP191" s="30"/>
      <c r="AQ191" s="27">
        <f aca="true" t="shared" si="88" ref="AQ191:AQ206">IF(AP191&gt;0,AP191,AO191)</f>
        <v>2.1</v>
      </c>
      <c r="AR191" s="1" t="str">
        <f aca="true" t="shared" si="89" ref="AR191:AR206">CONCATENATE(AH191,AI191,AJ191,AK191,AL191,AM191,AN191)</f>
        <v>Bituminous Tack Coat applied at 0.05 gallons per square yard</v>
      </c>
    </row>
    <row r="192" spans="1:44" ht="12.75">
      <c r="A192" s="3" t="str">
        <f>LOOKUP(A188,Reference!$A$2:$X$2,Reference!A$6:X$6)</f>
        <v>Drives</v>
      </c>
      <c r="B192" s="3"/>
      <c r="C192" s="5">
        <v>60</v>
      </c>
      <c r="D192" t="str">
        <f>LOOKUP(C188,Reference!$A$2:$X$2,Reference!A$6:X$6)</f>
        <v>@ 4 SY Each</v>
      </c>
      <c r="H192" s="12" t="s">
        <v>17</v>
      </c>
      <c r="I192" s="11">
        <f>IF(A188=1,4*C192*9,0)</f>
        <v>2160</v>
      </c>
      <c r="J192" s="9"/>
      <c r="K192" s="12" t="s">
        <v>17</v>
      </c>
      <c r="L192">
        <f>IF(A188=2,4*C192*9,0)</f>
        <v>0</v>
      </c>
      <c r="N192" s="12" t="s">
        <v>17</v>
      </c>
      <c r="O192" s="11">
        <f>IF(A188=3,4*C192*9,0)</f>
        <v>0</v>
      </c>
      <c r="P192" s="9"/>
      <c r="Q192" s="12" t="s">
        <v>17</v>
      </c>
      <c r="R192" s="11">
        <f>IF(A188=4,4*C192*9,0)</f>
        <v>0</v>
      </c>
      <c r="S192" s="9"/>
      <c r="T192">
        <f aca="true" t="shared" si="90" ref="T192:T206">IF(W192&gt;0,U191+1,T191+0.00001)</f>
        <v>1.00001</v>
      </c>
      <c r="U192">
        <f aca="true" t="shared" si="91" ref="U192:U206">IF(T192&gt;U191+0.5,U191+1,U191)</f>
        <v>1</v>
      </c>
      <c r="V192" s="22">
        <f>LOOKUP(A188,Reference!$A$2:$X$2,Reference!$A$28:$X$28)</f>
        <v>823</v>
      </c>
      <c r="W192" s="22">
        <f>IF(A188=1,J198,0)+IF(A188=2,M201,0)+IF(A188=3,P198,0)+IF(A188=4,S201,0)</f>
        <v>0</v>
      </c>
      <c r="X192" s="22" t="str">
        <f>LOOKUP(B188,Reference!$A$2:$X$2,Reference!$A$28:$X$28)</f>
        <v>C.Y.</v>
      </c>
      <c r="Y192" s="22" t="str">
        <f>LOOKUP(C188,Reference!$A$2:$X$2,Reference!$A$28:$X$28)</f>
        <v>Asphalt intermediate course PG 64-22, Type 1 (823) applied, spread and compacted at the average depth of </v>
      </c>
      <c r="Z192" s="22">
        <f>IF(A188=1,C198,0)+IF(A188=2,C201,0)+IF(A188=3,O200,0)+IF(A188=4,R200,0)</f>
        <v>0</v>
      </c>
      <c r="AA192" s="22" t="str">
        <f>LOOKUP(D188,Reference!$A$2:$X$2,Reference!$A$28:$X$28)</f>
        <v> inches</v>
      </c>
      <c r="AB192" s="22">
        <f>IF(A188=3,O198,0)+IF(A188=4,R198,0)</f>
        <v>0</v>
      </c>
      <c r="AC192" s="22">
        <f>IF(A188=2,C205,0)</f>
        <v>0</v>
      </c>
      <c r="AD192" s="22">
        <f>LOOKUP(E188,Reference!$A$2:$X$2,Reference!$A$28:$X$28)</f>
        <v>0</v>
      </c>
      <c r="AE192" s="1">
        <f t="shared" si="79"/>
        <v>823</v>
      </c>
      <c r="AF192" s="1">
        <f t="shared" si="80"/>
      </c>
      <c r="AG192" s="1" t="str">
        <f t="shared" si="81"/>
        <v>C.Y.</v>
      </c>
      <c r="AH192" s="1" t="str">
        <f t="shared" si="82"/>
        <v>Asphalt intermediate course PG 64-22, Type 1 (823) applied, spread and compacted at the average depth of </v>
      </c>
      <c r="AI192" s="1">
        <f t="shared" si="83"/>
      </c>
      <c r="AJ192" s="1" t="str">
        <f t="shared" si="84"/>
        <v> inches</v>
      </c>
      <c r="AK192" s="1">
        <f t="shared" si="85"/>
      </c>
      <c r="AL192" s="1">
        <f t="shared" si="86"/>
      </c>
      <c r="AM192" s="1">
        <f t="shared" si="87"/>
      </c>
      <c r="AN192" s="1"/>
      <c r="AO192" s="27">
        <f>LOOKUP(F188,Reference!A$2:X$2,Reference!$A$28:$X$28)</f>
        <v>150</v>
      </c>
      <c r="AP192" s="30"/>
      <c r="AQ192" s="27">
        <f t="shared" si="88"/>
        <v>150</v>
      </c>
      <c r="AR192" s="1" t="str">
        <f t="shared" si="89"/>
        <v>Asphalt intermediate course PG 64-22, Type 1 (823) applied, spread and compacted at the average depth of  inches</v>
      </c>
    </row>
    <row r="193" spans="1:44" ht="12.75">
      <c r="A193" s="3" t="str">
        <f>LOOKUP(A188,Reference!$A$2:$X$2,Reference!A$7:X$7)</f>
        <v>Berm (Per Side)</v>
      </c>
      <c r="B193" s="3"/>
      <c r="C193" s="5">
        <v>0</v>
      </c>
      <c r="D193" t="str">
        <f>LOOKUP(C188,Reference!$A$2:$X$2,Reference!A$7:X$7)</f>
        <v>inches</v>
      </c>
      <c r="H193" s="12" t="s">
        <v>18</v>
      </c>
      <c r="I193" s="11">
        <f>IF(A188=1,C193*2*C197/12,0)</f>
        <v>0</v>
      </c>
      <c r="J193" s="9">
        <f>MROUND(I193*C194/12*1/27+0.4,1)</f>
        <v>0</v>
      </c>
      <c r="K193" s="12" t="s">
        <v>18</v>
      </c>
      <c r="L193">
        <f>IF(A188=2,C193*2*C198/12,0)</f>
        <v>0</v>
      </c>
      <c r="M193">
        <f>MROUND(L193*C194/12*1/27+0.4,1)</f>
        <v>0</v>
      </c>
      <c r="N193" s="12" t="s">
        <v>18</v>
      </c>
      <c r="O193" s="11">
        <f>IF(A188=3,C193*2*C197/12,0)</f>
        <v>0</v>
      </c>
      <c r="P193" s="9">
        <f>MROUND(O193*C194/12*1/27+0.4,1)</f>
        <v>0</v>
      </c>
      <c r="Q193" s="12" t="s">
        <v>18</v>
      </c>
      <c r="R193" s="11">
        <f>IF(A188=4,C193*2*C197/12,0)</f>
        <v>0</v>
      </c>
      <c r="S193" s="9">
        <f>MROUND(R193*C194/12*1/27+0.4,1)</f>
        <v>0</v>
      </c>
      <c r="T193">
        <f t="shared" si="90"/>
        <v>2</v>
      </c>
      <c r="U193">
        <f t="shared" si="91"/>
        <v>2</v>
      </c>
      <c r="V193" s="22">
        <f>LOOKUP(A188,Reference!$A$2:$X$2,Reference!$A$29:$X$29)</f>
        <v>823</v>
      </c>
      <c r="W193" s="22">
        <f>IF(AND(A188=1,NOT(C200=424)),J199,0)+IF(A188=2,L207,0)+IF(A188=3,P201,0)+IF(A188=4,S202,0)</f>
        <v>1899</v>
      </c>
      <c r="X193" s="22" t="str">
        <f>LOOKUP(B188,Reference!$A$2:$X$2,Reference!$A$29:$X$29)</f>
        <v>C.Y.</v>
      </c>
      <c r="Y193" s="22" t="str">
        <f>LOOKUP(C188,Reference!$A$2:$X$2,Reference!$A$29:$X$29)</f>
        <v>Asphalt concrete surface course PG 64-22, Type 1 (823) applied, spread and compacted at the average depth of </v>
      </c>
      <c r="Z193" s="22">
        <f>IF(AND(A188=1,NOT(C200=424)),C199,0)+IF(A188=4,R202,0)</f>
        <v>1.5</v>
      </c>
      <c r="AA193" s="22" t="str">
        <f>LOOKUP(D188,Reference!$A$2:$X$2,Reference!$A$29:$X$29)</f>
        <v> inches</v>
      </c>
      <c r="AB193" s="22"/>
      <c r="AC193" s="22"/>
      <c r="AD193" s="22"/>
      <c r="AE193" s="1">
        <f t="shared" si="79"/>
        <v>823</v>
      </c>
      <c r="AF193" s="1">
        <f t="shared" si="80"/>
        <v>1899</v>
      </c>
      <c r="AG193" s="1" t="str">
        <f t="shared" si="81"/>
        <v>C.Y.</v>
      </c>
      <c r="AH193" s="1" t="str">
        <f t="shared" si="82"/>
        <v>Asphalt concrete surface course PG 64-22, Type 1 (823) applied, spread and compacted at the average depth of </v>
      </c>
      <c r="AI193" s="1">
        <f t="shared" si="83"/>
        <v>1.5</v>
      </c>
      <c r="AJ193" s="1" t="str">
        <f t="shared" si="84"/>
        <v> inches</v>
      </c>
      <c r="AK193" s="1">
        <f t="shared" si="85"/>
      </c>
      <c r="AL193" s="1">
        <f t="shared" si="86"/>
      </c>
      <c r="AM193" s="1">
        <f t="shared" si="87"/>
      </c>
      <c r="AN193" s="1"/>
      <c r="AO193" s="27">
        <f>LOOKUP(F188,Reference!A$2:X$2,Reference!$A$29:$X$29)</f>
        <v>150</v>
      </c>
      <c r="AP193" s="30">
        <v>185</v>
      </c>
      <c r="AQ193" s="27">
        <f t="shared" si="88"/>
        <v>185</v>
      </c>
      <c r="AR193" s="1" t="str">
        <f t="shared" si="89"/>
        <v>Asphalt concrete surface course PG 64-22, Type 1 (823) applied, spread and compacted at the average depth of 1.5 inches</v>
      </c>
    </row>
    <row r="194" spans="1:44" ht="12.75">
      <c r="A194" s="3" t="str">
        <f>LOOKUP(A188,Reference!$A$2:$X$2,Reference!A$8:X$8)</f>
        <v>Berm Depth</v>
      </c>
      <c r="B194" s="3"/>
      <c r="C194" s="5">
        <v>0</v>
      </c>
      <c r="D194" t="str">
        <f>LOOKUP(C188,Reference!$A$2:$X$2,Reference!A$8:X$8)</f>
        <v>inches</v>
      </c>
      <c r="H194" s="12"/>
      <c r="I194" s="11"/>
      <c r="J194" s="9"/>
      <c r="K194" s="11"/>
      <c r="N194" s="7"/>
      <c r="O194" s="11"/>
      <c r="P194" s="9"/>
      <c r="R194" s="11"/>
      <c r="S194" s="9"/>
      <c r="T194">
        <f t="shared" si="90"/>
        <v>2.00001</v>
      </c>
      <c r="U194">
        <f t="shared" si="91"/>
        <v>2</v>
      </c>
      <c r="V194" s="22">
        <f>LOOKUP(A188,Reference!$A$2:$X$2,Reference!$A$30:$X$30)</f>
        <v>407</v>
      </c>
      <c r="W194" s="22">
        <f>+IF(A188=2,M201,0)+IF(A188=3,P193,0)+IF(A188=4,S201,0)+IF(A188=1,J202,0)</f>
        <v>0</v>
      </c>
      <c r="X194" s="22" t="str">
        <f>LOOKUP(B188,Reference!$A$2:$X$2,Reference!$A$30:$X$30)</f>
        <v>Gal</v>
      </c>
      <c r="Y194" s="22" t="str">
        <f>LOOKUP(C188,Reference!$A$2:$X$2,Reference!$A$30:$X$30)</f>
        <v>Rubberized Latex Tack Coat (0.08 Gal./S.Y.)</v>
      </c>
      <c r="Z194" s="22">
        <f>IF(A188=2,C202,0)+IF(A188=3,C194,0)+IF(A188=4,R203,0)</f>
        <v>0</v>
      </c>
      <c r="AA194" s="22">
        <f>LOOKUP(D188,Reference!$A$2:$X$2,Reference!$A$30:$X$30)</f>
        <v>0</v>
      </c>
      <c r="AB194" s="22">
        <f>IF(A188=4,R201,0)</f>
        <v>0</v>
      </c>
      <c r="AC194" s="22"/>
      <c r="AD194" s="22">
        <f>LOOKUP(E188,Reference!$A$2:$X$2,Reference!$A$30:$X$30)</f>
        <v>0</v>
      </c>
      <c r="AE194" s="1">
        <f t="shared" si="79"/>
        <v>407</v>
      </c>
      <c r="AF194" s="1">
        <f t="shared" si="80"/>
      </c>
      <c r="AG194" s="1" t="str">
        <f t="shared" si="81"/>
        <v>Gal</v>
      </c>
      <c r="AH194" s="1" t="str">
        <f t="shared" si="82"/>
        <v>Rubberized Latex Tack Coat (0.08 Gal./S.Y.)</v>
      </c>
      <c r="AI194" s="1">
        <f t="shared" si="83"/>
      </c>
      <c r="AJ194" s="1">
        <f t="shared" si="84"/>
      </c>
      <c r="AK194" s="1">
        <f t="shared" si="85"/>
      </c>
      <c r="AL194" s="1">
        <f t="shared" si="86"/>
      </c>
      <c r="AM194" s="1">
        <f t="shared" si="87"/>
      </c>
      <c r="AN194" s="1"/>
      <c r="AO194" s="27">
        <f>LOOKUP(F188,Reference!A$2:X$2,Reference!$A$30:$X$30)</f>
        <v>3.5</v>
      </c>
      <c r="AP194" s="30"/>
      <c r="AQ194" s="27">
        <f t="shared" si="88"/>
        <v>3.5</v>
      </c>
      <c r="AR194" s="1" t="str">
        <f t="shared" si="89"/>
        <v>Rubberized Latex Tack Coat (0.08 Gal./S.Y.)</v>
      </c>
    </row>
    <row r="195" spans="1:44" ht="12.75">
      <c r="A195" s="3" t="str">
        <f>LOOKUP(A188,Reference!$A$2:$X$2,Reference!A$9:X$9)</f>
        <v>Pavement Planing</v>
      </c>
      <c r="B195" s="3"/>
      <c r="C195" s="5">
        <v>550</v>
      </c>
      <c r="D195" s="5"/>
      <c r="E195" s="5"/>
      <c r="F195" s="5"/>
      <c r="G195" s="5"/>
      <c r="H195" s="7" t="s">
        <v>52</v>
      </c>
      <c r="I195" s="11">
        <f>IF(A188=1,C195,0)</f>
        <v>550</v>
      </c>
      <c r="J195" s="9">
        <f>IF(A188=1,SUM(D195:G195),0)</f>
        <v>0</v>
      </c>
      <c r="K195" s="7" t="s">
        <v>52</v>
      </c>
      <c r="L195" s="11">
        <f>IF(A188=2,C195,0)</f>
        <v>0</v>
      </c>
      <c r="M195" s="11">
        <f>IF(A188=2,SUM(D195:G195),0)</f>
        <v>0</v>
      </c>
      <c r="N195" s="7"/>
      <c r="O195" s="11"/>
      <c r="P195" s="9"/>
      <c r="R195" s="11"/>
      <c r="S195" s="9"/>
      <c r="T195">
        <f t="shared" si="90"/>
        <v>2.00002</v>
      </c>
      <c r="U195">
        <f t="shared" si="91"/>
        <v>2</v>
      </c>
      <c r="V195" s="22">
        <f>LOOKUP(A188,Reference!$A$2:$X$2,Reference!$A$31:$X$31)</f>
        <v>424</v>
      </c>
      <c r="W195" s="22">
        <f>IF(A188=2,M204+M205,0)+IF(AND(C197&gt;0,A188=3),1,0)+IF(A188=4,S204,0)+IF(AND(A188=1,C200=424),J199,0)</f>
        <v>0</v>
      </c>
      <c r="X195" s="22" t="str">
        <f>LOOKUP(B188,Reference!$A$2:$X$2,Reference!$A$31:$X$31)</f>
        <v>C.Y.</v>
      </c>
      <c r="Y195" s="22" t="str">
        <f>LOOKUP(C188,Reference!$A$2:$X$2,Reference!$A$31:$X$31)</f>
        <v>Type B Smooth Seal Asphalt PG76-22, spread and compacted at the average depth of </v>
      </c>
      <c r="Z195" s="28">
        <f>IF(AND(A188=1,C200=424),C199,0)</f>
        <v>0</v>
      </c>
      <c r="AA195" s="22" t="str">
        <f>LOOKUP(D188,Reference!$A$2:$X$2,Reference!$A$31:$X$31)</f>
        <v> inches</v>
      </c>
      <c r="AB195" s="22"/>
      <c r="AC195" s="22"/>
      <c r="AD195" s="22"/>
      <c r="AE195" s="1">
        <f t="shared" si="79"/>
        <v>424</v>
      </c>
      <c r="AF195" s="1">
        <f t="shared" si="80"/>
      </c>
      <c r="AG195" s="1" t="str">
        <f t="shared" si="81"/>
        <v>C.Y.</v>
      </c>
      <c r="AH195" s="1" t="str">
        <f t="shared" si="82"/>
        <v>Type B Smooth Seal Asphalt PG76-22, spread and compacted at the average depth of </v>
      </c>
      <c r="AI195" s="1">
        <f t="shared" si="83"/>
      </c>
      <c r="AJ195" s="1" t="str">
        <f t="shared" si="84"/>
        <v> inches</v>
      </c>
      <c r="AK195" s="1">
        <f t="shared" si="85"/>
      </c>
      <c r="AL195" s="1">
        <f t="shared" si="86"/>
      </c>
      <c r="AM195" s="1">
        <f t="shared" si="87"/>
      </c>
      <c r="AN195" s="1"/>
      <c r="AO195" s="27">
        <f>LOOKUP(F188,Reference!A$2:X$2,Reference!$A$31:$X$31)</f>
        <v>210</v>
      </c>
      <c r="AP195" s="30"/>
      <c r="AQ195" s="27">
        <f t="shared" si="88"/>
        <v>210</v>
      </c>
      <c r="AR195" s="1" t="str">
        <f t="shared" si="89"/>
        <v>Type B Smooth Seal Asphalt PG76-22, spread and compacted at the average depth of  inches</v>
      </c>
    </row>
    <row r="196" spans="1:44" ht="12.75">
      <c r="A196" s="3" t="str">
        <f>LOOKUP(A188,Reference!$A$2:$X$2,Reference!A$10:X$10)</f>
        <v>Pavement Width</v>
      </c>
      <c r="B196" s="3"/>
      <c r="C196" s="5">
        <v>18.75</v>
      </c>
      <c r="D196" t="str">
        <f>LOOKUP(C188,Reference!$A$2:$X$2,Reference!A$10:X$10)</f>
        <v>feet</v>
      </c>
      <c r="H196" s="12" t="s">
        <v>48</v>
      </c>
      <c r="I196" s="11">
        <f>IF(A188=1,C196*C197,0)</f>
        <v>405562.5</v>
      </c>
      <c r="J196" s="9"/>
      <c r="K196" s="14" t="s">
        <v>53</v>
      </c>
      <c r="L196">
        <f>IF(A188=2,C196,0)</f>
        <v>0</v>
      </c>
      <c r="N196" s="17" t="s">
        <v>48</v>
      </c>
      <c r="O196" s="11">
        <f>IF(A188=3,C196*C197,0)</f>
        <v>0</v>
      </c>
      <c r="P196" s="9"/>
      <c r="Q196" s="17" t="s">
        <v>48</v>
      </c>
      <c r="R196" s="11">
        <f>IF(A188=4,C196*C197,0)</f>
        <v>0</v>
      </c>
      <c r="S196" s="9"/>
      <c r="T196">
        <f t="shared" si="90"/>
        <v>2.00003</v>
      </c>
      <c r="U196">
        <f t="shared" si="91"/>
        <v>2</v>
      </c>
      <c r="V196" s="22">
        <f>LOOKUP(A188,Reference!$A$2:$X$2,Reference!$A$32:$X$32)</f>
        <v>617</v>
      </c>
      <c r="W196" s="22">
        <f>IF(A188=2,M199,0)+IF(AND(C197&gt;0,A188=3),1,0)+IF(A188=4,S193,0)+IF(A188=1,J193,0)</f>
        <v>0</v>
      </c>
      <c r="X196" s="22" t="str">
        <f>LOOKUP(B188,Reference!$A$2:$X$2,Reference!$A$32:$X$32)</f>
        <v>C.Y.</v>
      </c>
      <c r="Y196" s="22" t="str">
        <f>LOOKUP(C188,Reference!$A$2:$X$2,Reference!$A$32:$X$32)</f>
        <v>Stabilized crushed aggregate berm in place and compacted at the average depth of </v>
      </c>
      <c r="Z196" s="22">
        <f>IF(A188=2,C199,0)+IF(A188=4,C194,0)+IF(A188=1,C194,0)</f>
        <v>0</v>
      </c>
      <c r="AA196" s="22" t="str">
        <f>LOOKUP(D188,Reference!$A$2:$X$2,Reference!$A$32:$X$32)</f>
        <v> inches</v>
      </c>
      <c r="AB196" s="22"/>
      <c r="AC196" s="22"/>
      <c r="AD196" s="22"/>
      <c r="AE196" s="1">
        <f t="shared" si="79"/>
        <v>617</v>
      </c>
      <c r="AF196" s="1">
        <f t="shared" si="80"/>
      </c>
      <c r="AG196" s="1" t="str">
        <f t="shared" si="81"/>
        <v>C.Y.</v>
      </c>
      <c r="AH196" s="1" t="str">
        <f t="shared" si="82"/>
        <v>Stabilized crushed aggregate berm in place and compacted at the average depth of </v>
      </c>
      <c r="AI196" s="1">
        <f t="shared" si="83"/>
      </c>
      <c r="AJ196" s="1" t="str">
        <f t="shared" si="84"/>
        <v> inches</v>
      </c>
      <c r="AK196" s="1">
        <f t="shared" si="85"/>
      </c>
      <c r="AL196" s="1">
        <f t="shared" si="86"/>
      </c>
      <c r="AM196" s="1">
        <f t="shared" si="87"/>
      </c>
      <c r="AN196" s="1"/>
      <c r="AO196" s="27">
        <f>LOOKUP(F188,Reference!A$2:X$2,Reference!$A$32:$X$32)</f>
        <v>58</v>
      </c>
      <c r="AP196" s="30"/>
      <c r="AQ196" s="27">
        <f t="shared" si="88"/>
        <v>58</v>
      </c>
      <c r="AR196" s="1" t="str">
        <f t="shared" si="89"/>
        <v>Stabilized crushed aggregate berm in place and compacted at the average depth of  inches</v>
      </c>
    </row>
    <row r="197" spans="1:44" ht="12.75">
      <c r="A197" s="3" t="str">
        <f>LOOKUP(A188,Reference!$A$2:$X$2,Reference!A$11:X$11)</f>
        <v>Pavement Length</v>
      </c>
      <c r="B197" s="3"/>
      <c r="C197" s="5">
        <v>21630</v>
      </c>
      <c r="D197" t="str">
        <f>LOOKUP(C188,Reference!$A$2:$X$2,Reference!A$11:X$11)</f>
        <v>feet</v>
      </c>
      <c r="H197" s="12" t="s">
        <v>46</v>
      </c>
      <c r="I197" s="11">
        <f>IF(A188=1,I196+I192+I191,0)</f>
        <v>410062.5</v>
      </c>
      <c r="J197" s="9"/>
      <c r="K197" s="12" t="s">
        <v>48</v>
      </c>
      <c r="L197">
        <f>IF(A188=2,C197*C198,0)</f>
        <v>0</v>
      </c>
      <c r="N197" s="17" t="s">
        <v>46</v>
      </c>
      <c r="O197" s="11">
        <f>O196+O191+O192</f>
        <v>0</v>
      </c>
      <c r="P197" s="9"/>
      <c r="Q197" s="17" t="s">
        <v>46</v>
      </c>
      <c r="R197" s="11">
        <f>R196+R191+R192</f>
        <v>0</v>
      </c>
      <c r="S197" s="9"/>
      <c r="T197">
        <f t="shared" si="90"/>
        <v>3</v>
      </c>
      <c r="U197">
        <f t="shared" si="91"/>
        <v>3</v>
      </c>
      <c r="V197" s="22">
        <f>LOOKUP(A188,Reference!$A$2:$X$2,Reference!$A$33:$X$33)</f>
        <v>254</v>
      </c>
      <c r="W197" s="22">
        <f>IF(AND(A188=2,NOT(C206=424)),M200,0)+IF(AND(C197&gt;0,A188=3),1,0)+IF(AND(C197&gt;0,A188=4),1,0)+IF(A188=1,I195,0)</f>
        <v>550</v>
      </c>
      <c r="X197" s="22" t="str">
        <f>LOOKUP(B188,Reference!$A$2:$X$2,Reference!$A$33:$X$33)</f>
        <v>S.Y.</v>
      </c>
      <c r="Y197" s="22" t="str">
        <f>LOOKUP(C188,Reference!$A$2:$X$2,Reference!$A$33:$X$33)</f>
        <v>Pavement Planing</v>
      </c>
      <c r="Z197" s="22">
        <f>IF(AND(A188=2,NOT(C206=424)),C200,0)+IF(A188=1,J195,0)</f>
        <v>0</v>
      </c>
      <c r="AA197" s="22" t="str">
        <f>LOOKUP(D188,Reference!$A$2:$X$2,Reference!$A$33:$X$33)</f>
        <v> (20' length including radius)</v>
      </c>
      <c r="AB197" s="22"/>
      <c r="AC197" s="22"/>
      <c r="AD197" s="22"/>
      <c r="AE197" s="1">
        <f t="shared" si="79"/>
        <v>254</v>
      </c>
      <c r="AF197" s="1">
        <f t="shared" si="80"/>
        <v>550</v>
      </c>
      <c r="AG197" s="1" t="str">
        <f t="shared" si="81"/>
        <v>S.Y.</v>
      </c>
      <c r="AH197" s="1" t="str">
        <f t="shared" si="82"/>
        <v>Pavement Planing</v>
      </c>
      <c r="AI197" s="1">
        <f t="shared" si="83"/>
      </c>
      <c r="AJ197" s="1" t="str">
        <f t="shared" si="84"/>
        <v> (20' length including radius)</v>
      </c>
      <c r="AK197" s="1">
        <f t="shared" si="85"/>
      </c>
      <c r="AL197" s="1">
        <f t="shared" si="86"/>
      </c>
      <c r="AM197" s="1">
        <f t="shared" si="87"/>
      </c>
      <c r="AN197" s="1"/>
      <c r="AO197" s="27">
        <f>LOOKUP(F188,Reference!A$2:X$2,Reference!$A$33:$X$33)</f>
        <v>15</v>
      </c>
      <c r="AP197" s="30">
        <v>12</v>
      </c>
      <c r="AQ197" s="27">
        <f t="shared" si="88"/>
        <v>12</v>
      </c>
      <c r="AR197" s="1" t="str">
        <f t="shared" si="89"/>
        <v>Pavement Planing (20' length including radius)</v>
      </c>
    </row>
    <row r="198" spans="1:44" ht="12.75">
      <c r="A198" s="3" t="str">
        <f>LOOKUP(A188,Reference!$A$2:$X$2,Reference!A$12:X$12)</f>
        <v>Intermediate Course</v>
      </c>
      <c r="B198" s="3"/>
      <c r="C198" s="5">
        <v>0</v>
      </c>
      <c r="D198" t="str">
        <f>LOOKUP(C188,Reference!$A$2:$X$2,Reference!A$12:X$12)</f>
        <v>inches</v>
      </c>
      <c r="H198" s="7"/>
      <c r="I198" s="11"/>
      <c r="J198" s="13">
        <f>MROUND(I197*C198/12*1/27+0.4,1)</f>
        <v>0</v>
      </c>
      <c r="K198" s="12" t="s">
        <v>46</v>
      </c>
      <c r="L198">
        <f>IF(A188=2,L191+L192+L196+L197,0)</f>
        <v>0</v>
      </c>
      <c r="N198" s="18" t="s">
        <v>70</v>
      </c>
      <c r="O198" s="8">
        <f>IF(A188=3,C198,0)</f>
        <v>0</v>
      </c>
      <c r="P198" s="9">
        <f>MROUND(O197/9*O198/2400+2,5)</f>
        <v>0</v>
      </c>
      <c r="Q198" s="18" t="s">
        <v>77</v>
      </c>
      <c r="R198" s="8">
        <f>IF(A188=4,C198,0)</f>
        <v>0</v>
      </c>
      <c r="S198" s="9">
        <f>MROUND(R197/9*R198/2400+2,5)</f>
        <v>0</v>
      </c>
      <c r="T198">
        <f t="shared" si="90"/>
        <v>4</v>
      </c>
      <c r="U198">
        <f t="shared" si="91"/>
        <v>4</v>
      </c>
      <c r="V198" s="22">
        <f>LOOKUP(A188,Reference!$A$2:$X$2,Reference!$A$34:$X$34)</f>
        <v>614</v>
      </c>
      <c r="W198" s="22">
        <f>IF(AND(C197&gt;0,A188=1),1,0)+IF(AND(C197&gt;0,A188=4),1,0)+IF(A188=2,M206,0)</f>
        <v>1</v>
      </c>
      <c r="X198" s="22" t="str">
        <f>LOOKUP(B188,Reference!$A$2:$X$2,Reference!$A$34:$X$34)</f>
        <v>L.S.</v>
      </c>
      <c r="Y198" s="22" t="str">
        <f>LOOKUP(C188,Reference!$A$2:$X$2,Reference!$A$34:$X$34)</f>
        <v>Maintaining Traffic</v>
      </c>
      <c r="Z198" s="22"/>
      <c r="AA198" s="22">
        <f>LOOKUP(D188,Reference!$A$2:$X$2,Reference!$A$34:$X$34)</f>
        <v>0</v>
      </c>
      <c r="AB198" s="22"/>
      <c r="AC198" s="22"/>
      <c r="AD198" s="22"/>
      <c r="AE198" s="1">
        <f t="shared" si="79"/>
        <v>614</v>
      </c>
      <c r="AF198" s="1">
        <f t="shared" si="80"/>
        <v>1</v>
      </c>
      <c r="AG198" s="1" t="str">
        <f t="shared" si="81"/>
        <v>L.S.</v>
      </c>
      <c r="AH198" s="1" t="str">
        <f t="shared" si="82"/>
        <v>Maintaining Traffic</v>
      </c>
      <c r="AI198" s="1">
        <f t="shared" si="83"/>
      </c>
      <c r="AJ198" s="1">
        <f t="shared" si="84"/>
      </c>
      <c r="AK198" s="1">
        <f t="shared" si="85"/>
      </c>
      <c r="AL198" s="1">
        <f t="shared" si="86"/>
      </c>
      <c r="AM198" s="1">
        <f t="shared" si="87"/>
      </c>
      <c r="AN198" s="1"/>
      <c r="AO198" s="27">
        <f>LOOKUP(F188,Reference!A$2:X$2,Reference!$A$34:$X$34)</f>
        <v>2000</v>
      </c>
      <c r="AP198" s="30">
        <v>3000</v>
      </c>
      <c r="AQ198" s="27">
        <f t="shared" si="88"/>
        <v>3000</v>
      </c>
      <c r="AR198" s="1" t="str">
        <f t="shared" si="89"/>
        <v>Maintaining Traffic</v>
      </c>
    </row>
    <row r="199" spans="1:44" ht="12.75">
      <c r="A199" s="3" t="str">
        <f>LOOKUP(A188,Reference!$A$2:$X$2,Reference!A$13:X$13)</f>
        <v>Surface Course</v>
      </c>
      <c r="B199" s="3"/>
      <c r="C199" s="5">
        <v>1.5</v>
      </c>
      <c r="D199" t="str">
        <f>LOOKUP(C188,Reference!$A$2:$X$2,Reference!A$13:X$13)</f>
        <v>inches</v>
      </c>
      <c r="H199" s="7"/>
      <c r="I199" s="11"/>
      <c r="J199" s="13">
        <f>MROUND(I197*C199/12*1/27+0.4,1)</f>
        <v>1899</v>
      </c>
      <c r="K199" s="3" t="s">
        <v>54</v>
      </c>
      <c r="M199">
        <f>MROUND(L198*C199/12*1/27,1)</f>
        <v>0</v>
      </c>
      <c r="N199" s="18" t="s">
        <v>64</v>
      </c>
      <c r="O199" s="11">
        <f>IF(A188=3,C199,0)</f>
        <v>0</v>
      </c>
      <c r="P199" s="9">
        <f>MROUND(O199*O197/9+2.4,5)</f>
        <v>0</v>
      </c>
      <c r="Q199" s="18" t="s">
        <v>78</v>
      </c>
      <c r="R199" s="11">
        <f>IF(A188=4,C199,0)</f>
        <v>0</v>
      </c>
      <c r="S199" s="9">
        <f>MROUND(R199*R197/9+2.4,5)</f>
        <v>0</v>
      </c>
      <c r="T199">
        <f t="shared" si="90"/>
        <v>5</v>
      </c>
      <c r="U199">
        <f t="shared" si="91"/>
        <v>5</v>
      </c>
      <c r="V199" s="22">
        <f>LOOKUP(A188,Reference!$A$2:$X$2,Reference!$A$35:$X$35)</f>
        <v>624</v>
      </c>
      <c r="W199" s="22">
        <f>IF(AND(C197&gt;0,A188=1),1,0)+IF(AND(C197&gt;0,A188=4),1,0)+IF(AND(A188=2,C206=424),M200,0)</f>
        <v>1</v>
      </c>
      <c r="X199" s="22" t="str">
        <f>LOOKUP(B188,Reference!$A$2:$X$2,Reference!$A$35:$X$35)</f>
        <v>L.S.</v>
      </c>
      <c r="Y199" s="22" t="str">
        <f>LOOKUP(C188,Reference!$A$2:$X$2,Reference!$A$35:$X$35)</f>
        <v>Mobilization</v>
      </c>
      <c r="Z199" s="22">
        <f>IF(AND(A188=2,C206=424),C200,0)</f>
        <v>0</v>
      </c>
      <c r="AA199" s="22">
        <f>LOOKUP(D188,Reference!$A$2:$X$2,Reference!$A$35:$X$35)</f>
        <v>0</v>
      </c>
      <c r="AB199" s="22"/>
      <c r="AC199" s="22"/>
      <c r="AD199" s="22"/>
      <c r="AE199" s="1">
        <f t="shared" si="79"/>
        <v>624</v>
      </c>
      <c r="AF199" s="1">
        <f t="shared" si="80"/>
        <v>1</v>
      </c>
      <c r="AG199" s="1" t="str">
        <f t="shared" si="81"/>
        <v>L.S.</v>
      </c>
      <c r="AH199" s="1" t="str">
        <f t="shared" si="82"/>
        <v>Mobilization</v>
      </c>
      <c r="AI199" s="1">
        <f t="shared" si="83"/>
      </c>
      <c r="AJ199" s="1">
        <f t="shared" si="84"/>
      </c>
      <c r="AK199" s="1">
        <f t="shared" si="85"/>
      </c>
      <c r="AL199" s="1">
        <f t="shared" si="86"/>
      </c>
      <c r="AM199" s="1">
        <f t="shared" si="87"/>
      </c>
      <c r="AN199" s="1"/>
      <c r="AO199" s="27">
        <f>LOOKUP(F188,Reference!A$2:X$2,Reference!$A$35:$X$35)</f>
        <v>3000</v>
      </c>
      <c r="AP199" s="30">
        <v>1500</v>
      </c>
      <c r="AQ199" s="27">
        <f t="shared" si="88"/>
        <v>1500</v>
      </c>
      <c r="AR199" s="1" t="str">
        <f t="shared" si="89"/>
        <v>Mobilization</v>
      </c>
    </row>
    <row r="200" spans="1:44" ht="12.75">
      <c r="A200" s="3" t="str">
        <f>LOOKUP(A188,Reference!$A$2:$X$2,Reference!A$14:X$14)</f>
        <v>Type of Surface </v>
      </c>
      <c r="B200" s="3"/>
      <c r="C200" s="5">
        <v>823</v>
      </c>
      <c r="D200" t="str">
        <f>LOOKUP(C188,Reference!$A$2:$X$2,Reference!A$14:X$14)</f>
        <v>(424, 823, 448)</v>
      </c>
      <c r="H200" s="12" t="s">
        <v>88</v>
      </c>
      <c r="I200" s="11">
        <v>0.05</v>
      </c>
      <c r="J200" s="9">
        <f>MROUND(I200*I197/9,5)</f>
        <v>2280</v>
      </c>
      <c r="K200" s="8" t="s">
        <v>55</v>
      </c>
      <c r="M200">
        <f>MROUND(L198*C200/12*1/27,1)</f>
        <v>0</v>
      </c>
      <c r="N200" s="12" t="s">
        <v>69</v>
      </c>
      <c r="O200" s="11">
        <f>IF(A188=3,C200,0)</f>
        <v>0</v>
      </c>
      <c r="P200" s="9"/>
      <c r="Q200" s="12" t="s">
        <v>79</v>
      </c>
      <c r="R200" s="11">
        <f>IF(A188=4,C200,0)</f>
        <v>0</v>
      </c>
      <c r="S200" s="9"/>
      <c r="T200">
        <f t="shared" si="90"/>
        <v>6</v>
      </c>
      <c r="U200">
        <f t="shared" si="91"/>
        <v>6</v>
      </c>
      <c r="V200" s="22">
        <f>LOOKUP(A188,Reference!$A$2:$X$2,Reference!$A$36:$X$36)</f>
        <v>103.05</v>
      </c>
      <c r="W200" s="22">
        <f>+IF(A188=2,M193,0)+IF(AND(C197&gt;0,A188=1),1,0)</f>
        <v>1</v>
      </c>
      <c r="X200" s="22" t="str">
        <f>LOOKUP(B188,Reference!$A$2:$X$2,Reference!$A$36:$X$36)</f>
        <v>L.S.</v>
      </c>
      <c r="Y200" s="22" t="str">
        <f>LOOKUP(C188,Reference!$A$2:$X$2,Reference!$A$36:$X$36)</f>
        <v>Contract Performance &amp; Payment Bond</v>
      </c>
      <c r="Z200" s="22">
        <f>IF(A188=2,C194,0)</f>
        <v>0</v>
      </c>
      <c r="AA200" s="22">
        <f>LOOKUP(D188,Reference!$A$2:$X$2,Reference!$A$36:$X$36)</f>
        <v>0</v>
      </c>
      <c r="AB200" s="22"/>
      <c r="AC200" s="22"/>
      <c r="AD200" s="22"/>
      <c r="AE200" s="1">
        <f t="shared" si="79"/>
        <v>103.05</v>
      </c>
      <c r="AF200" s="1">
        <f t="shared" si="80"/>
        <v>1</v>
      </c>
      <c r="AG200" s="1" t="str">
        <f t="shared" si="81"/>
        <v>L.S.</v>
      </c>
      <c r="AH200" s="1" t="str">
        <f t="shared" si="82"/>
        <v>Contract Performance &amp; Payment Bond</v>
      </c>
      <c r="AI200" s="1">
        <f t="shared" si="83"/>
      </c>
      <c r="AJ200" s="1">
        <f t="shared" si="84"/>
      </c>
      <c r="AK200" s="1">
        <f t="shared" si="85"/>
      </c>
      <c r="AL200" s="1">
        <f t="shared" si="86"/>
      </c>
      <c r="AM200" s="1">
        <f t="shared" si="87"/>
      </c>
      <c r="AN200" s="1"/>
      <c r="AO200" s="27">
        <f>LOOKUP(F188,Reference!A$2:X$2,Reference!$A$36:$X$36)</f>
        <v>1000</v>
      </c>
      <c r="AP200" s="30">
        <v>1507</v>
      </c>
      <c r="AQ200" s="27">
        <f t="shared" si="88"/>
        <v>1507</v>
      </c>
      <c r="AR200" s="1" t="str">
        <f t="shared" si="89"/>
        <v>Contract Performance &amp; Payment Bond</v>
      </c>
    </row>
    <row r="201" spans="1:44" ht="12.75">
      <c r="A201" s="3">
        <f>LOOKUP(A188,Reference!$A$2:$X$2,Reference!A$15:X$15)</f>
        <v>0</v>
      </c>
      <c r="B201" s="3"/>
      <c r="C201" s="5">
        <v>0</v>
      </c>
      <c r="D201">
        <f>LOOKUP(C188,Reference!$A$2:$X$2,Reference!A$15:X$15)</f>
        <v>0</v>
      </c>
      <c r="H201" s="12" t="s">
        <v>89</v>
      </c>
      <c r="I201" s="11">
        <f>IF(C198&gt;0.1,0.05,0)</f>
        <v>0</v>
      </c>
      <c r="J201" s="9">
        <f>IF(AND(A188=1,NOT(C200=424)),MROUND(I201*I197/9,5),0)</f>
        <v>0</v>
      </c>
      <c r="K201" s="15" t="s">
        <v>57</v>
      </c>
      <c r="L201">
        <f>IF(A188=2,C198*C201,0)</f>
        <v>0</v>
      </c>
      <c r="M201">
        <f>MROUND(L201*C202/12*1/27,1)</f>
        <v>0</v>
      </c>
      <c r="N201" s="12" t="s">
        <v>59</v>
      </c>
      <c r="O201" s="11">
        <f>IF(A188=3,C201,0)</f>
        <v>0</v>
      </c>
      <c r="P201" s="9">
        <f>MROUND(O201*O197/9+2.4,5)</f>
        <v>0</v>
      </c>
      <c r="Q201" s="18" t="s">
        <v>80</v>
      </c>
      <c r="R201" s="8">
        <f>IF(A188=4,C201,0)</f>
        <v>0</v>
      </c>
      <c r="S201" s="9">
        <f>MROUND(R197/9*R201/2400+2,5)</f>
        <v>0</v>
      </c>
      <c r="T201">
        <f t="shared" si="90"/>
        <v>6.00001</v>
      </c>
      <c r="U201">
        <f t="shared" si="91"/>
        <v>6</v>
      </c>
      <c r="V201" s="22">
        <f>LOOKUP(A188,Reference!$A$2:$X$2,Reference!$A$37:$X$37)</f>
        <v>0</v>
      </c>
      <c r="W201" s="22">
        <f>IF(A188=2,L195,0)</f>
        <v>0</v>
      </c>
      <c r="X201" s="22">
        <f>LOOKUP(B188,Reference!$A$2:$X$2,Reference!$A$37:$X$37)</f>
        <v>0</v>
      </c>
      <c r="Y201" s="22">
        <f>LOOKUP(C188,Reference!$A$2:$X$2,Reference!$A$37:$X$37)</f>
        <v>0</v>
      </c>
      <c r="Z201" s="22">
        <f>IF(A188=2,M195,0)</f>
        <v>0</v>
      </c>
      <c r="AA201" s="22">
        <f>LOOKUP(D188,Reference!$A$2:$X$2,Reference!$A$37:$X$37)</f>
        <v>0</v>
      </c>
      <c r="AB201" s="22"/>
      <c r="AC201" s="22"/>
      <c r="AD201" s="22"/>
      <c r="AE201" s="1">
        <f t="shared" si="79"/>
      </c>
      <c r="AF201" s="1">
        <f t="shared" si="80"/>
      </c>
      <c r="AG201" s="1">
        <f t="shared" si="81"/>
      </c>
      <c r="AH201" s="1">
        <f t="shared" si="82"/>
      </c>
      <c r="AI201" s="1">
        <f t="shared" si="83"/>
      </c>
      <c r="AJ201" s="1">
        <f t="shared" si="84"/>
      </c>
      <c r="AK201" s="1">
        <f t="shared" si="85"/>
      </c>
      <c r="AL201" s="1">
        <f t="shared" si="86"/>
      </c>
      <c r="AM201" s="1">
        <f t="shared" si="87"/>
      </c>
      <c r="AN201" s="1"/>
      <c r="AO201" s="27">
        <f>LOOKUP(F188,Reference!A$2:X$2,Reference!$A$37:$X$37)</f>
        <v>0</v>
      </c>
      <c r="AP201" s="30"/>
      <c r="AQ201" s="27">
        <f t="shared" si="88"/>
        <v>0</v>
      </c>
      <c r="AR201" s="1">
        <f t="shared" si="89"/>
      </c>
    </row>
    <row r="202" spans="1:44" ht="12.75">
      <c r="A202" s="3">
        <f>LOOKUP(A188,Reference!$A$2:$X$2,Reference!A$16:X$16)</f>
        <v>0</v>
      </c>
      <c r="B202" s="3"/>
      <c r="C202" s="5">
        <v>0</v>
      </c>
      <c r="D202">
        <f>LOOKUP(C188,Reference!$A$2:$X$2,Reference!A$16:X$16)</f>
        <v>0</v>
      </c>
      <c r="H202" s="16" t="s">
        <v>132</v>
      </c>
      <c r="I202" s="11">
        <v>0.05</v>
      </c>
      <c r="J202" s="9">
        <f>IF(AND(A188=1,C200=424),MROUND(I202*I197/9,5),0)</f>
        <v>0</v>
      </c>
      <c r="K202" s="15" t="s">
        <v>96</v>
      </c>
      <c r="L202">
        <f>IF(A188=2,C203,0)</f>
        <v>0</v>
      </c>
      <c r="N202" s="7"/>
      <c r="O202" s="11"/>
      <c r="P202" s="9"/>
      <c r="Q202" s="18" t="s">
        <v>81</v>
      </c>
      <c r="R202" s="11">
        <f>IF(A188=4,C202,0)</f>
        <v>0</v>
      </c>
      <c r="S202" s="9">
        <f>MROUND(R202*R197/9+2.4,5)</f>
        <v>0</v>
      </c>
      <c r="T202">
        <f t="shared" si="90"/>
        <v>6.000019999999999</v>
      </c>
      <c r="U202">
        <f t="shared" si="91"/>
        <v>6</v>
      </c>
      <c r="V202" s="22">
        <f>LOOKUP(A188,Reference!$A$2:$X$2,Reference!$A$38:$X$38)</f>
        <v>0</v>
      </c>
      <c r="W202" s="22">
        <f>IF(AND(C198&gt;0,A188=2),1,0)</f>
        <v>0</v>
      </c>
      <c r="X202" s="22">
        <f>LOOKUP(B188,Reference!$A$2:$X$2,Reference!$A$38:$X$38)</f>
        <v>0</v>
      </c>
      <c r="Y202" s="22">
        <f>LOOKUP(C188,Reference!$A$2:$X$2,Reference!$A$38:$X$38)</f>
        <v>0</v>
      </c>
      <c r="Z202" s="22"/>
      <c r="AA202" s="22">
        <f>LOOKUP(D188,Reference!$A$2:$X$2,Reference!$A$38:$X$38)</f>
        <v>0</v>
      </c>
      <c r="AB202" s="22"/>
      <c r="AC202" s="22"/>
      <c r="AD202" s="22"/>
      <c r="AE202" s="1">
        <f t="shared" si="79"/>
      </c>
      <c r="AF202" s="1">
        <f t="shared" si="80"/>
      </c>
      <c r="AG202" s="1">
        <f t="shared" si="81"/>
      </c>
      <c r="AH202" s="1">
        <f t="shared" si="82"/>
      </c>
      <c r="AI202" s="1">
        <f t="shared" si="83"/>
      </c>
      <c r="AJ202" s="1">
        <f t="shared" si="84"/>
      </c>
      <c r="AK202" s="1">
        <f t="shared" si="85"/>
      </c>
      <c r="AL202" s="1">
        <f t="shared" si="86"/>
      </c>
      <c r="AM202" s="1">
        <f t="shared" si="87"/>
      </c>
      <c r="AN202" s="1"/>
      <c r="AO202" s="27">
        <f>LOOKUP(F188,Reference!A$2:X$2,Reference!$A$38:$X$38)</f>
        <v>0</v>
      </c>
      <c r="AP202" s="30"/>
      <c r="AQ202" s="27">
        <f t="shared" si="88"/>
        <v>0</v>
      </c>
      <c r="AR202" s="1">
        <f t="shared" si="89"/>
      </c>
    </row>
    <row r="203" spans="1:44" ht="12.75">
      <c r="A203" s="3">
        <f>LOOKUP(A188,Reference!$A$2:$X$2,Reference!A$17:X$17)</f>
        <v>0</v>
      </c>
      <c r="B203" s="3"/>
      <c r="C203" s="4">
        <v>0</v>
      </c>
      <c r="D203">
        <f>LOOKUP(C188,Reference!$A$2:$X$2,Reference!A$17:X$17)</f>
        <v>0</v>
      </c>
      <c r="H203" s="12" t="s">
        <v>116</v>
      </c>
      <c r="I203" s="11">
        <f>IF(A188=1,C197,0)</f>
        <v>21630</v>
      </c>
      <c r="J203" s="9"/>
      <c r="K203" s="15" t="s">
        <v>91</v>
      </c>
      <c r="L203">
        <f>IF(A188=2,C204,0)</f>
        <v>0</v>
      </c>
      <c r="N203" s="12" t="s">
        <v>116</v>
      </c>
      <c r="O203" s="11">
        <f>IF(A188=3,C197,0)</f>
        <v>0</v>
      </c>
      <c r="P203" s="9"/>
      <c r="Q203" s="12" t="s">
        <v>82</v>
      </c>
      <c r="R203" s="11">
        <f>IF(A188=4,C203,0)</f>
        <v>0</v>
      </c>
      <c r="S203" s="9"/>
      <c r="T203">
        <f t="shared" si="90"/>
        <v>6.000029999999999</v>
      </c>
      <c r="U203">
        <f t="shared" si="91"/>
        <v>6</v>
      </c>
      <c r="V203" s="22">
        <f>LOOKUP(A188,Reference!$A$2:$X$2,Reference!$A$39:$X$39)</f>
        <v>0</v>
      </c>
      <c r="W203" s="22">
        <f>IF(AND(C198&gt;0,A188=2),1,0)</f>
        <v>0</v>
      </c>
      <c r="X203" s="22">
        <f>LOOKUP(B188,Reference!$A$2:$X$2,Reference!$A$39:$X$39)</f>
        <v>0</v>
      </c>
      <c r="Y203" s="22">
        <f>LOOKUP(C188,Reference!$A$2:$X$2,Reference!$A$39:$X$39)</f>
        <v>0</v>
      </c>
      <c r="Z203" s="22"/>
      <c r="AA203" s="22">
        <f>LOOKUP(D188,Reference!$A$2:$X$2,Reference!$A$39:$X$39)</f>
        <v>0</v>
      </c>
      <c r="AB203" s="22"/>
      <c r="AC203" s="22"/>
      <c r="AD203" s="22"/>
      <c r="AE203" s="1">
        <f t="shared" si="79"/>
      </c>
      <c r="AF203" s="1">
        <f t="shared" si="80"/>
      </c>
      <c r="AG203" s="1">
        <f t="shared" si="81"/>
      </c>
      <c r="AH203" s="1">
        <f t="shared" si="82"/>
      </c>
      <c r="AI203" s="1">
        <f t="shared" si="83"/>
      </c>
      <c r="AJ203" s="1">
        <f t="shared" si="84"/>
      </c>
      <c r="AK203" s="1">
        <f t="shared" si="85"/>
      </c>
      <c r="AL203" s="1">
        <f t="shared" si="86"/>
      </c>
      <c r="AM203" s="1">
        <f t="shared" si="87"/>
      </c>
      <c r="AN203" s="1"/>
      <c r="AO203" s="27">
        <f>LOOKUP(F188,Reference!A$2:X$2,Reference!$A$39:$X$39)</f>
        <v>0</v>
      </c>
      <c r="AP203" s="30"/>
      <c r="AQ203" s="27">
        <f t="shared" si="88"/>
        <v>0</v>
      </c>
      <c r="AR203" s="1">
        <f t="shared" si="89"/>
      </c>
    </row>
    <row r="204" spans="1:44" ht="12.75">
      <c r="A204" s="3">
        <f>LOOKUP(A188,Reference!$A$2:$X$2,Reference!A$18:O$18)</f>
        <v>0</v>
      </c>
      <c r="B204" s="3"/>
      <c r="C204" s="5">
        <v>0</v>
      </c>
      <c r="D204">
        <f>LOOKUP(C188,Reference!$A$2:$X$2,Reference!A$18:X$18)</f>
        <v>0</v>
      </c>
      <c r="H204" s="12" t="s">
        <v>117</v>
      </c>
      <c r="I204" s="11">
        <f>IF(A188=1,C196,0)</f>
        <v>18.75</v>
      </c>
      <c r="J204" s="9"/>
      <c r="K204" s="16" t="s">
        <v>88</v>
      </c>
      <c r="L204">
        <v>0.05</v>
      </c>
      <c r="M204">
        <f>MROUND(L204*L198/9,5)</f>
        <v>0</v>
      </c>
      <c r="N204" s="12" t="s">
        <v>117</v>
      </c>
      <c r="O204" s="11">
        <f>IF(A188=3,C196,0)</f>
        <v>0</v>
      </c>
      <c r="P204" s="9"/>
      <c r="Q204" s="12" t="s">
        <v>59</v>
      </c>
      <c r="R204" s="11">
        <f>IF(A188=4,C204,0)</f>
        <v>0</v>
      </c>
      <c r="S204" s="9">
        <f>MROUND(R204*R197/9+2.4,5)</f>
        <v>0</v>
      </c>
      <c r="T204">
        <f t="shared" si="90"/>
        <v>6.0000399999999985</v>
      </c>
      <c r="U204">
        <f t="shared" si="91"/>
        <v>6</v>
      </c>
      <c r="V204" s="22">
        <f>LOOKUP(A188,Reference!$A$2:$X$2,Reference!$A$40:$X$40)</f>
        <v>0</v>
      </c>
      <c r="W204" s="22">
        <f>IF(AND(C198&gt;0,A188=2),1,0)</f>
        <v>0</v>
      </c>
      <c r="X204" s="22">
        <f>LOOKUP(B188,Reference!$A$2:$X$2,Reference!$A$40:$X$40)</f>
        <v>0</v>
      </c>
      <c r="Y204" s="22">
        <f>LOOKUP(C188,Reference!$A$2:$X$2,Reference!$A$40:$X$40)</f>
        <v>0</v>
      </c>
      <c r="Z204" s="22"/>
      <c r="AA204" s="22">
        <f>LOOKUP(D188,Reference!$A$2:$X$2,Reference!$A$40:$X$40)</f>
        <v>0</v>
      </c>
      <c r="AB204" s="22"/>
      <c r="AC204" s="22"/>
      <c r="AD204" s="22"/>
      <c r="AE204" s="1">
        <f t="shared" si="79"/>
      </c>
      <c r="AF204" s="1">
        <f t="shared" si="80"/>
      </c>
      <c r="AG204" s="1">
        <f t="shared" si="81"/>
      </c>
      <c r="AH204" s="1">
        <f t="shared" si="82"/>
      </c>
      <c r="AI204" s="1">
        <f t="shared" si="83"/>
      </c>
      <c r="AJ204" s="1">
        <f t="shared" si="84"/>
      </c>
      <c r="AK204" s="1">
        <f t="shared" si="85"/>
      </c>
      <c r="AL204" s="1">
        <f t="shared" si="86"/>
      </c>
      <c r="AM204" s="1">
        <f t="shared" si="87"/>
      </c>
      <c r="AN204" s="1"/>
      <c r="AO204" s="27">
        <f>LOOKUP(F188,Reference!A$2:X$2,Reference!$A$40:$X$40)</f>
        <v>0</v>
      </c>
      <c r="AP204" s="30"/>
      <c r="AQ204" s="27">
        <f t="shared" si="88"/>
        <v>0</v>
      </c>
      <c r="AR204" s="1">
        <f t="shared" si="89"/>
      </c>
    </row>
    <row r="205" spans="1:44" ht="12.75">
      <c r="A205" s="3">
        <f>LOOKUP(A188,Reference!$A$2:$X$2,Reference!A$19:O$19)</f>
        <v>0</v>
      </c>
      <c r="B205" s="3"/>
      <c r="C205" s="4"/>
      <c r="D205">
        <f>LOOKUP(C188,Reference!$A$2:$X$2,Reference!A$19:X$19)</f>
        <v>0</v>
      </c>
      <c r="H205" s="7"/>
      <c r="I205" s="11"/>
      <c r="J205" s="9"/>
      <c r="K205" s="16" t="s">
        <v>89</v>
      </c>
      <c r="L205">
        <f>IF(C199&gt;0.1,0.05,0)</f>
        <v>0.05</v>
      </c>
      <c r="M205">
        <f>IF(NOT(C206=424),MROUND(L205*L198/9,5),0)</f>
        <v>0</v>
      </c>
      <c r="N205" s="7"/>
      <c r="O205" s="11"/>
      <c r="P205" s="9"/>
      <c r="R205" s="11"/>
      <c r="S205" s="9"/>
      <c r="T205">
        <f t="shared" si="90"/>
        <v>6.000049999999998</v>
      </c>
      <c r="U205">
        <f t="shared" si="91"/>
        <v>6</v>
      </c>
      <c r="V205" s="22">
        <f>LOOKUP(A188,Reference!$A$2:$X$2,Reference!$A$41:$X$41)</f>
        <v>0</v>
      </c>
      <c r="W205" s="22"/>
      <c r="X205" s="22">
        <f>LOOKUP(B188,Reference!$A$2:$X$2,Reference!$A$41:$X$41)</f>
        <v>0</v>
      </c>
      <c r="Y205" s="22">
        <f>LOOKUP(C188,Reference!$A$2:$X$2,Reference!$A$41:$X$41)</f>
        <v>0</v>
      </c>
      <c r="Z205" s="22"/>
      <c r="AA205" s="22">
        <f>LOOKUP(D188,Reference!$A$2:$X$2,Reference!$A$41:$X$41)</f>
        <v>0</v>
      </c>
      <c r="AB205" s="22"/>
      <c r="AC205" s="22"/>
      <c r="AD205" s="22"/>
      <c r="AE205" s="1">
        <f t="shared" si="79"/>
      </c>
      <c r="AF205" s="1">
        <f t="shared" si="80"/>
      </c>
      <c r="AG205" s="1">
        <f t="shared" si="81"/>
      </c>
      <c r="AH205" s="1">
        <f t="shared" si="82"/>
      </c>
      <c r="AI205" s="1">
        <f t="shared" si="83"/>
      </c>
      <c r="AJ205" s="1">
        <f t="shared" si="84"/>
      </c>
      <c r="AK205" s="1">
        <f t="shared" si="85"/>
      </c>
      <c r="AL205" s="1">
        <f t="shared" si="86"/>
      </c>
      <c r="AM205" s="1">
        <f t="shared" si="87"/>
      </c>
      <c r="AN205" s="1"/>
      <c r="AO205" s="27">
        <f>LOOKUP(F188,Reference!A$2:X$2,Reference!$A$41:$X$41)</f>
        <v>0</v>
      </c>
      <c r="AP205" s="30"/>
      <c r="AQ205" s="27">
        <f t="shared" si="88"/>
        <v>0</v>
      </c>
      <c r="AR205" s="1">
        <f t="shared" si="89"/>
      </c>
    </row>
    <row r="206" spans="1:44" ht="12.75">
      <c r="A206" s="3">
        <f>LOOKUP(A188,Reference!$A$2:$X$2,Reference!A$20:X$20)</f>
        <v>0</v>
      </c>
      <c r="B206" s="3"/>
      <c r="C206" s="5"/>
      <c r="D206">
        <f>LOOKUP(C188,Reference!$A$2:$X$2,Reference!A$20:X$20)</f>
        <v>0</v>
      </c>
      <c r="H206" s="7"/>
      <c r="I206" s="11"/>
      <c r="J206" s="9"/>
      <c r="K206" s="16" t="s">
        <v>132</v>
      </c>
      <c r="L206">
        <f>IF(C199&gt;0.1,0.08,0)</f>
        <v>0.08</v>
      </c>
      <c r="M206">
        <f>IF(C206=424,MROUND(L206*L198/9,5),0)</f>
        <v>0</v>
      </c>
      <c r="N206" s="12"/>
      <c r="O206" s="11"/>
      <c r="P206" s="19"/>
      <c r="Q206" s="12" t="s">
        <v>116</v>
      </c>
      <c r="R206" s="11">
        <f>IF(A188=4,C197,0)</f>
        <v>0</v>
      </c>
      <c r="S206" s="9"/>
      <c r="T206">
        <f t="shared" si="90"/>
        <v>6.000059999999998</v>
      </c>
      <c r="U206">
        <f t="shared" si="91"/>
        <v>6</v>
      </c>
      <c r="V206" s="22">
        <f>LOOKUP(A188,Reference!$A$2:$X$2,Reference!$A$42:$X$42)</f>
        <v>0</v>
      </c>
      <c r="W206" s="22"/>
      <c r="X206" s="22">
        <f>LOOKUP(B188,Reference!$A$2:$X$2,Reference!$A$42:$X$42)</f>
        <v>0</v>
      </c>
      <c r="Y206" s="22">
        <f>LOOKUP(C188,Reference!$A$2:$X$2,Reference!$A$42:$X$42)</f>
        <v>0</v>
      </c>
      <c r="Z206" s="22"/>
      <c r="AA206" s="22">
        <f>LOOKUP(D188,Reference!$A$2:$X$2,Reference!$A$42:$X$42)</f>
        <v>0</v>
      </c>
      <c r="AB206" s="22"/>
      <c r="AC206" s="22"/>
      <c r="AD206" s="22"/>
      <c r="AE206" s="1">
        <f t="shared" si="79"/>
      </c>
      <c r="AF206" s="1">
        <f t="shared" si="80"/>
      </c>
      <c r="AG206" s="1">
        <f t="shared" si="81"/>
      </c>
      <c r="AH206" s="1">
        <f t="shared" si="82"/>
      </c>
      <c r="AI206" s="1">
        <f t="shared" si="83"/>
      </c>
      <c r="AJ206" s="1">
        <f t="shared" si="84"/>
      </c>
      <c r="AK206" s="1">
        <f t="shared" si="85"/>
      </c>
      <c r="AL206" s="1">
        <f t="shared" si="86"/>
      </c>
      <c r="AM206" s="1">
        <f t="shared" si="87"/>
      </c>
      <c r="AN206" s="1"/>
      <c r="AO206" s="27">
        <f>LOOKUP(F188,Reference!A$2:X$2,Reference!$A$42:$X$42)</f>
        <v>0</v>
      </c>
      <c r="AP206" s="30"/>
      <c r="AQ206" s="27">
        <f t="shared" si="88"/>
        <v>0</v>
      </c>
      <c r="AR206" s="1">
        <f t="shared" si="89"/>
      </c>
    </row>
    <row r="207" spans="1:44" ht="12.75">
      <c r="A207" s="3">
        <f>LOOKUP(A188,Reference!$A$2:$X$2,Reference!A$21:X$21)</f>
        <v>0</v>
      </c>
      <c r="B207" s="3"/>
      <c r="C207" s="5"/>
      <c r="D207">
        <f>LOOKUP(C188,Reference!$A$2:$X$2,Reference!A$21:X$21)</f>
        <v>0</v>
      </c>
      <c r="H207" s="7"/>
      <c r="I207" s="11"/>
      <c r="J207" s="9"/>
      <c r="K207" s="16" t="s">
        <v>101</v>
      </c>
      <c r="L207">
        <f>MROUND(L201/9,5)</f>
        <v>0</v>
      </c>
      <c r="N207" s="7"/>
      <c r="O207" s="11"/>
      <c r="P207" s="9"/>
      <c r="Q207" s="12" t="s">
        <v>117</v>
      </c>
      <c r="R207" s="11">
        <f>IF(A188=4,C196,0)</f>
        <v>0</v>
      </c>
      <c r="S207" s="9"/>
      <c r="V207" s="3" t="s">
        <v>98</v>
      </c>
      <c r="W207">
        <f>MROUND(SUM(R197,O197,L198,I197)/9,5)</f>
        <v>45565</v>
      </c>
      <c r="AO207" s="26"/>
      <c r="AP207" s="26"/>
      <c r="AQ207" s="26"/>
      <c r="AR207" s="1">
        <f>CONCATENATE(AH207,AI207,AJ207,AK207,,AM207,AN207)</f>
      </c>
    </row>
    <row r="208" spans="1:28" ht="12.75">
      <c r="A208" s="3">
        <f>LOOKUP(A188,Reference!$A$2:$X$2,Reference!C$22:X$22)</f>
        <v>0</v>
      </c>
      <c r="B208" s="3"/>
      <c r="C208" s="5"/>
      <c r="D208">
        <f>LOOKUP(C188,Reference!$A$2:$X$2,Reference!C$22:X$22)</f>
        <v>0</v>
      </c>
      <c r="H208" s="7"/>
      <c r="I208" s="11"/>
      <c r="J208" s="9"/>
      <c r="K208" s="12" t="s">
        <v>116</v>
      </c>
      <c r="L208">
        <f>IF(A188=2,C198,0)</f>
        <v>0</v>
      </c>
      <c r="N208" s="7"/>
      <c r="O208" s="11"/>
      <c r="P208" s="9"/>
      <c r="R208" s="11"/>
      <c r="S208" s="9"/>
      <c r="V208" s="3" t="s">
        <v>118</v>
      </c>
      <c r="W208">
        <f>R206+O203+L208+I203</f>
        <v>21630</v>
      </c>
      <c r="X208" s="3" t="s">
        <v>121</v>
      </c>
      <c r="Y208">
        <f>MROUND(W208/5280,0.01)</f>
        <v>4.1</v>
      </c>
      <c r="Z208" s="3" t="s">
        <v>120</v>
      </c>
      <c r="AB208" t="str">
        <f>CONCATENATE(V208,W208,X208,Y208,Z208)</f>
        <v>Length:  21630 Feet or 4.1 Mile(s)</v>
      </c>
    </row>
    <row r="209" spans="1:28" ht="12.75">
      <c r="A209" s="3">
        <f>LOOKUP(A188,Reference!$A$2:$X$2,Reference!A$23:X$23)</f>
        <v>0</v>
      </c>
      <c r="B209" s="3"/>
      <c r="C209" s="5"/>
      <c r="D209">
        <f>LOOKUP(C188,Reference!$A$2:$X$2,Reference!A$23:X$23)</f>
        <v>0</v>
      </c>
      <c r="H209" s="7"/>
      <c r="I209" s="11"/>
      <c r="J209" s="9"/>
      <c r="K209" s="12" t="s">
        <v>117</v>
      </c>
      <c r="L209">
        <f>IF(A188=2,C197,0)</f>
        <v>0</v>
      </c>
      <c r="N209" s="7"/>
      <c r="O209" s="11"/>
      <c r="P209" s="9"/>
      <c r="R209" s="11"/>
      <c r="S209" s="19"/>
      <c r="V209" s="3" t="s">
        <v>119</v>
      </c>
      <c r="W209">
        <f>R207+O204+L209+I204</f>
        <v>18.75</v>
      </c>
      <c r="X209" s="3" t="s">
        <v>122</v>
      </c>
      <c r="Y209" s="3" t="s">
        <v>123</v>
      </c>
      <c r="Z209" s="25">
        <f>W207</f>
        <v>45565</v>
      </c>
      <c r="AA209" s="3" t="s">
        <v>124</v>
      </c>
      <c r="AB209" t="str">
        <f>CONCATENATE(V209,W209,X209,Y209,Z209,AA209)</f>
        <v>Width:  18.75 Feet     (Approx. 45565 S.Y. including radius and driveway work)</v>
      </c>
    </row>
    <row r="210" spans="1:28" ht="12.75">
      <c r="A210" s="3">
        <f>LOOKUP(A188,Reference!$A$2:$X$2,Reference!A$24:X$24)</f>
        <v>0</v>
      </c>
      <c r="B210" s="3"/>
      <c r="C210" s="5"/>
      <c r="D210">
        <f>LOOKUP(C188,Reference!$A$2:$X$2,Reference!A$24:X$24)</f>
        <v>0</v>
      </c>
      <c r="H210" s="7">
        <f>IF(AND(A188=1,C200=424),"Type: ODOT Spec 424 Smooth Seal ","")</f>
      </c>
      <c r="I210" s="11" t="str">
        <f>IF(AND(A188=1,NOT(C200=424)),"Type: ODOT Spec 823 ","")</f>
        <v>Type: ODOT Spec 823 </v>
      </c>
      <c r="J210" s="9"/>
      <c r="K210" s="18">
        <f>IF(A188=2,"Type: ODOT Spec 448, with Spec 301 Widening ","")</f>
      </c>
      <c r="N210" s="7">
        <f>IF(A188=3,"Type: Chip Seal, 1997 ODOT Spec 409 ","")</f>
      </c>
      <c r="O210" s="11">
        <f>IF(O201&gt;0,"W/ Fog Seal","")</f>
      </c>
      <c r="P210" s="9"/>
      <c r="Q210">
        <f>IF(A188=4,"Type: Double Chip Seal, 1997 ODOT Spec 409 ","")</f>
      </c>
      <c r="R210" s="11">
        <f>IF(R204&gt;0,"W/ Fog Seal","")</f>
      </c>
      <c r="S210" s="9"/>
      <c r="V210" s="3">
        <f>IF(C193&gt;0,"W/ 617 Berm @ ","")</f>
      </c>
      <c r="W210" s="29">
        <f>IF(C193&gt;0,C193/12,"")</f>
      </c>
      <c r="X210" s="3">
        <f>IF(C193&gt;0," Feet Wide Each Side","")</f>
      </c>
      <c r="AB210" t="str">
        <f>CONCATENATE(H210,I210,J210,K210,L210,M210,N210,O210,P210,Q210,R210,S210,T210,U210,V210,W210,X210)</f>
        <v>Type: ODOT Spec 823 </v>
      </c>
    </row>
    <row r="218" spans="1:19" ht="12.75">
      <c r="A218" s="2" t="s">
        <v>139</v>
      </c>
      <c r="B218" s="3"/>
      <c r="C218" s="3" t="str">
        <f>"1 = Paving    2 = Paving-Widening     3= Chip Seal   4=Double Chip Seal"</f>
        <v>1 = Paving    2 = Paving-Widening     3= Chip Seal   4=Double Chip Seal</v>
      </c>
      <c r="I218">
        <f>I187</f>
        <v>1</v>
      </c>
      <c r="J218">
        <f>J187</f>
        <v>1.5</v>
      </c>
      <c r="L218">
        <f>L187</f>
        <v>2</v>
      </c>
      <c r="M218">
        <f>M187</f>
        <v>2.5</v>
      </c>
      <c r="O218">
        <f>O187</f>
        <v>3</v>
      </c>
      <c r="P218">
        <f>P187</f>
        <v>3.5</v>
      </c>
      <c r="R218">
        <f>R187</f>
        <v>4</v>
      </c>
      <c r="S218">
        <f>S187</f>
        <v>4.5</v>
      </c>
    </row>
    <row r="219" spans="1:19" ht="12.75">
      <c r="A219" s="6">
        <v>2</v>
      </c>
      <c r="B219" s="20">
        <f>A219+0.2</f>
        <v>2.2</v>
      </c>
      <c r="C219">
        <f>A219+0.5</f>
        <v>2.5</v>
      </c>
      <c r="D219">
        <f>A219+0.7</f>
        <v>2.7</v>
      </c>
      <c r="E219">
        <f>A219+0.8</f>
        <v>2.8</v>
      </c>
      <c r="F219">
        <f>A219+0.9</f>
        <v>2.9</v>
      </c>
      <c r="H219" s="7"/>
      <c r="I219" s="8" t="s">
        <v>37</v>
      </c>
      <c r="J219" s="9"/>
      <c r="K219" s="11"/>
      <c r="L219" t="s">
        <v>38</v>
      </c>
      <c r="N219" s="7"/>
      <c r="O219" s="8" t="s">
        <v>31</v>
      </c>
      <c r="P219" s="9"/>
      <c r="Q219" s="7"/>
      <c r="R219" s="8" t="s">
        <v>39</v>
      </c>
      <c r="S219" s="9"/>
    </row>
    <row r="220" spans="1:43" ht="12.75">
      <c r="A220" s="2" t="str">
        <f>LOOKUP(A219,Reference!$A$2:$S$2,Reference!A$3:S$3)</f>
        <v>Paving-Widening</v>
      </c>
      <c r="B220" s="2"/>
      <c r="H220" s="7"/>
      <c r="I220" s="10" t="s">
        <v>28</v>
      </c>
      <c r="J220" s="9"/>
      <c r="K220" s="11"/>
      <c r="L220" s="10" t="s">
        <v>28</v>
      </c>
      <c r="M220" s="11"/>
      <c r="N220" s="7"/>
      <c r="O220" s="10" t="s">
        <v>28</v>
      </c>
      <c r="P220" s="9"/>
      <c r="Q220" s="7"/>
      <c r="R220" s="10" t="s">
        <v>28</v>
      </c>
      <c r="S220" s="9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4" ht="12.75">
      <c r="A221" s="3" t="str">
        <f>LOOKUP(A219,Reference!$A$2:$X$2,Reference!A$4:X$4)</f>
        <v>Name</v>
      </c>
      <c r="B221" s="3"/>
      <c r="C221" s="4" t="s">
        <v>179</v>
      </c>
      <c r="D221" t="str">
        <f>"1st Length"</f>
        <v>1st Length</v>
      </c>
      <c r="E221" t="str">
        <f>"2nd Length"</f>
        <v>2nd Length</v>
      </c>
      <c r="F221" t="str">
        <f>"3rd Length"</f>
        <v>3rd Length</v>
      </c>
      <c r="G221" t="str">
        <f>"4th Length"</f>
        <v>4th Length</v>
      </c>
      <c r="H221" s="7"/>
      <c r="I221" s="11" t="s">
        <v>26</v>
      </c>
      <c r="J221" s="9" t="s">
        <v>50</v>
      </c>
      <c r="K221" s="11"/>
      <c r="L221" s="11" t="s">
        <v>26</v>
      </c>
      <c r="M221" s="8" t="s">
        <v>68</v>
      </c>
      <c r="N221" s="7"/>
      <c r="O221" s="11" t="s">
        <v>26</v>
      </c>
      <c r="P221" s="19" t="s">
        <v>67</v>
      </c>
      <c r="Q221" s="7"/>
      <c r="R221" s="11" t="s">
        <v>26</v>
      </c>
      <c r="S221" s="19" t="s">
        <v>67</v>
      </c>
      <c r="V221" s="23" t="s">
        <v>2</v>
      </c>
      <c r="W221" s="24" t="s">
        <v>86</v>
      </c>
      <c r="X221" s="24" t="s">
        <v>3</v>
      </c>
      <c r="Y221" s="24" t="s">
        <v>4</v>
      </c>
      <c r="Z221" s="21"/>
      <c r="AA221" s="22"/>
      <c r="AB221" s="22"/>
      <c r="AC221" s="22"/>
      <c r="AD221" s="2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27" t="s">
        <v>126</v>
      </c>
      <c r="AP221" s="27" t="s">
        <v>127</v>
      </c>
      <c r="AQ221" s="27" t="s">
        <v>128</v>
      </c>
      <c r="AR221" s="27" t="s">
        <v>4</v>
      </c>
    </row>
    <row r="222" spans="1:44" ht="12.75">
      <c r="A222" s="3" t="str">
        <f>LOOKUP(A219,Reference!$A$2:$X$2,Reference!A$5:X$5)</f>
        <v>Radii</v>
      </c>
      <c r="B222" s="3"/>
      <c r="C222" s="5">
        <v>6</v>
      </c>
      <c r="D222" t="str">
        <f>LOOKUP(C219,Reference!$A$2:$X$2,Reference!A$5:X$5)</f>
        <v>@ 10 SY Each</v>
      </c>
      <c r="H222" s="12" t="s">
        <v>47</v>
      </c>
      <c r="I222" s="11">
        <f>IF(A219=1,10*C222*9,0)</f>
        <v>0</v>
      </c>
      <c r="J222" s="9"/>
      <c r="K222" s="12" t="s">
        <v>47</v>
      </c>
      <c r="L222">
        <f>IF(A219=2,10*C222*9,0)</f>
        <v>540</v>
      </c>
      <c r="N222" s="12" t="s">
        <v>47</v>
      </c>
      <c r="O222" s="11">
        <f>IF(A219=3,10*C222*9,0)</f>
        <v>0</v>
      </c>
      <c r="P222" s="9"/>
      <c r="Q222" s="12" t="s">
        <v>47</v>
      </c>
      <c r="R222" s="11">
        <f>IF(A219=4,10*C222*9,0)</f>
        <v>0</v>
      </c>
      <c r="S222" s="9"/>
      <c r="T222">
        <f>IF(W222&gt;0,1,0)</f>
        <v>1</v>
      </c>
      <c r="U222">
        <f>T222</f>
        <v>1</v>
      </c>
      <c r="V222" s="22">
        <f>LOOKUP(A219,Reference!$A$2:$X$2,Reference!$A$27:$X$27)</f>
        <v>202</v>
      </c>
      <c r="W222" s="22">
        <f>IF(A219=1,J231+J232,0)+IF(A219=2,L234,0)+IF(A219=3,P230,0)+IF(A219=4,S230,0)</f>
        <v>6</v>
      </c>
      <c r="X222" s="22" t="str">
        <f>LOOKUP(B219,Reference!$A$2:$X$2,Reference!$A$27:$X$27)</f>
        <v>EA</v>
      </c>
      <c r="Y222" s="22" t="str">
        <f>LOOKUP(C219,Reference!$A$2:$X$2,Reference!$A$27:X$27)</f>
        <v>Remove &amp; Relocate Mailbox/Paperbox</v>
      </c>
      <c r="Z222" s="22">
        <f>IF(A219=3,O230,0)+IF(A219=4,R230,0)</f>
        <v>0</v>
      </c>
      <c r="AA222" s="22">
        <f>LOOKUP(D219,Reference!$A$2:$X$2,Reference!$A$27:$X$27)</f>
        <v>0</v>
      </c>
      <c r="AB222" s="22"/>
      <c r="AC222" s="22"/>
      <c r="AD222" s="22"/>
      <c r="AE222" s="1">
        <f aca="true" t="shared" si="92" ref="AE222:AE237">IF(V222=0,"",V222)</f>
        <v>202</v>
      </c>
      <c r="AF222" s="1">
        <f aca="true" t="shared" si="93" ref="AF222:AF237">IF(W222=0,"",W222)</f>
        <v>6</v>
      </c>
      <c r="AG222" s="1" t="str">
        <f aca="true" t="shared" si="94" ref="AG222:AG237">IF(X222=0,"",X222)</f>
        <v>EA</v>
      </c>
      <c r="AH222" s="1" t="str">
        <f aca="true" t="shared" si="95" ref="AH222:AH237">IF(Y222=0,"",Y222)</f>
        <v>Remove &amp; Relocate Mailbox/Paperbox</v>
      </c>
      <c r="AI222" s="1">
        <f aca="true" t="shared" si="96" ref="AI222:AI237">IF(Z222=0,"",Z222)</f>
      </c>
      <c r="AJ222" s="1">
        <f aca="true" t="shared" si="97" ref="AJ222:AJ237">IF(AA222=0,"",AA222)</f>
      </c>
      <c r="AK222" s="1">
        <f aca="true" t="shared" si="98" ref="AK222:AK237">IF(AB222=0,"",AB222)</f>
      </c>
      <c r="AL222" s="1">
        <f aca="true" t="shared" si="99" ref="AL222:AL237">IF(AC222=0,"",AC222)</f>
      </c>
      <c r="AM222" s="1">
        <f aca="true" t="shared" si="100" ref="AM222:AM237">IF(AD222=0,"",AD222)</f>
      </c>
      <c r="AN222" s="1"/>
      <c r="AO222" s="27">
        <f>LOOKUP(F219,Reference!A$2:X$2,Reference!$A$27:$X$27)</f>
        <v>250</v>
      </c>
      <c r="AP222" s="30"/>
      <c r="AQ222" s="27">
        <f aca="true" t="shared" si="101" ref="AQ222:AQ237">IF(AP222&gt;0,AP222,AO222)</f>
        <v>250</v>
      </c>
      <c r="AR222" s="1" t="str">
        <f aca="true" t="shared" si="102" ref="AR222:AR237">CONCATENATE(AH222,AI222,AJ222,AK222,AL222,AM222,AN222)</f>
        <v>Remove &amp; Relocate Mailbox/Paperbox</v>
      </c>
    </row>
    <row r="223" spans="1:44" ht="12.75">
      <c r="A223" s="3" t="str">
        <f>LOOKUP(A219,Reference!$A$2:$X$2,Reference!A$6:X$6)</f>
        <v>Drives</v>
      </c>
      <c r="B223" s="3"/>
      <c r="C223" s="5">
        <v>11</v>
      </c>
      <c r="D223" t="str">
        <f>LOOKUP(C219,Reference!$A$2:$X$2,Reference!A$6:X$6)</f>
        <v>@ 4 SY Each</v>
      </c>
      <c r="H223" s="12" t="s">
        <v>17</v>
      </c>
      <c r="I223" s="11">
        <f>IF(A219=1,4*C223*9,0)</f>
        <v>0</v>
      </c>
      <c r="J223" s="9"/>
      <c r="K223" s="12" t="s">
        <v>17</v>
      </c>
      <c r="L223">
        <f>IF(A219=2,4*C223*9,0)</f>
        <v>396</v>
      </c>
      <c r="N223" s="12" t="s">
        <v>17</v>
      </c>
      <c r="O223" s="11">
        <f>IF(A219=3,4*C223*9,0)</f>
        <v>0</v>
      </c>
      <c r="P223" s="9"/>
      <c r="Q223" s="12" t="s">
        <v>17</v>
      </c>
      <c r="R223" s="11">
        <f>IF(A219=4,4*C223*9,0)</f>
        <v>0</v>
      </c>
      <c r="S223" s="9"/>
      <c r="T223">
        <f aca="true" t="shared" si="103" ref="T223:T237">IF(W223&gt;0,U222+1,T222+0.00001)</f>
        <v>2</v>
      </c>
      <c r="U223">
        <f aca="true" t="shared" si="104" ref="U223:U237">IF(T223&gt;U222+0.5,U222+1,U222)</f>
        <v>2</v>
      </c>
      <c r="V223" s="22">
        <f>LOOKUP(A219,Reference!$A$2:$X$2,Reference!$A$28:$X$28)</f>
        <v>203</v>
      </c>
      <c r="W223" s="22">
        <f>IF(A219=1,J229,0)+IF(A219=2,M232,0)+IF(A219=3,P229,0)+IF(A219=4,S232,0)</f>
        <v>333</v>
      </c>
      <c r="X223" s="22" t="str">
        <f>LOOKUP(B219,Reference!$A$2:$X$2,Reference!$A$28:$X$28)</f>
        <v>CY</v>
      </c>
      <c r="Y223" s="22" t="str">
        <f>LOOKUP(C219,Reference!$A$2:$X$2,Reference!$A$28:$X$28)</f>
        <v>Excavation (</v>
      </c>
      <c r="Z223" s="22">
        <f>IF(A219=1,C229,0)+IF(A219=2,C232,0)+IF(A219=3,O231,0)+IF(A219=4,R231,0)</f>
        <v>4</v>
      </c>
      <c r="AA223" s="22" t="str">
        <f>LOOKUP(D219,Reference!$A$2:$X$2,Reference!$A$28:$X$28)</f>
        <v>' Widening </v>
      </c>
      <c r="AB223" s="22">
        <f>IF(A219=3,O229,0)+IF(A219=4,R229,0)</f>
        <v>0</v>
      </c>
      <c r="AC223" s="22" t="str">
        <f>IF(A219=2,C236,0)</f>
        <v>, 2 Feet Each Side</v>
      </c>
      <c r="AD223" s="22" t="str">
        <f>LOOKUP(E219,Reference!$A$2:$X$2,Reference!$A$28:$X$28)</f>
        <v> and Mailbox Turnout)</v>
      </c>
      <c r="AE223" s="1">
        <f t="shared" si="92"/>
        <v>203</v>
      </c>
      <c r="AF223" s="1">
        <f t="shared" si="93"/>
        <v>333</v>
      </c>
      <c r="AG223" s="1" t="str">
        <f t="shared" si="94"/>
        <v>CY</v>
      </c>
      <c r="AH223" s="1" t="str">
        <f t="shared" si="95"/>
        <v>Excavation (</v>
      </c>
      <c r="AI223" s="1">
        <f t="shared" si="96"/>
        <v>4</v>
      </c>
      <c r="AJ223" s="1" t="str">
        <f t="shared" si="97"/>
        <v>' Widening </v>
      </c>
      <c r="AK223" s="1">
        <f t="shared" si="98"/>
      </c>
      <c r="AL223" s="1" t="str">
        <f t="shared" si="99"/>
        <v>, 2 Feet Each Side</v>
      </c>
      <c r="AM223" s="1" t="str">
        <f t="shared" si="100"/>
        <v> and Mailbox Turnout)</v>
      </c>
      <c r="AN223" s="1"/>
      <c r="AO223" s="27">
        <f>LOOKUP(F219,Reference!A$2:X$2,Reference!$A$28:$X$28)</f>
        <v>43</v>
      </c>
      <c r="AP223" s="30"/>
      <c r="AQ223" s="27">
        <f t="shared" si="101"/>
        <v>43</v>
      </c>
      <c r="AR223" s="1" t="str">
        <f t="shared" si="102"/>
        <v>Excavation (4' Widening , 2 Feet Each Side and Mailbox Turnout)</v>
      </c>
    </row>
    <row r="224" spans="1:44" ht="12.75">
      <c r="A224" s="3" t="str">
        <f>LOOKUP(A219,Reference!$A$2:$X$2,Reference!A$7:X$7)</f>
        <v>Berm (Per Side)</v>
      </c>
      <c r="B224" s="3"/>
      <c r="C224" s="5">
        <v>0</v>
      </c>
      <c r="D224" t="str">
        <f>LOOKUP(C219,Reference!$A$2:$X$2,Reference!A$7:X$7)</f>
        <v>inches</v>
      </c>
      <c r="H224" s="12" t="s">
        <v>18</v>
      </c>
      <c r="I224" s="11">
        <f>IF(A219=1,C224*2*C228/12,0)</f>
        <v>0</v>
      </c>
      <c r="J224" s="9">
        <f>MROUND(I224*C225/12*1/27+0.4,1)</f>
        <v>0</v>
      </c>
      <c r="K224" s="12" t="s">
        <v>18</v>
      </c>
      <c r="L224">
        <f>IF(A219=2,C224*2*C229/12,0)</f>
        <v>0</v>
      </c>
      <c r="M224">
        <f>MROUND(L224*C225/12*1/27+0.4,1)</f>
        <v>0</v>
      </c>
      <c r="N224" s="12" t="s">
        <v>18</v>
      </c>
      <c r="O224" s="11">
        <f>IF(A219=3,C224*2*C228/12,0)</f>
        <v>0</v>
      </c>
      <c r="P224" s="9">
        <f>MROUND(O224*C225/12*1/27+0.4,1)</f>
        <v>0</v>
      </c>
      <c r="Q224" s="12" t="s">
        <v>18</v>
      </c>
      <c r="R224" s="11">
        <f>IF(A219=4,C224*2*C228/12,0)</f>
        <v>0</v>
      </c>
      <c r="S224" s="9">
        <f>MROUND(R224*C225/12*1/27+0.4,1)</f>
        <v>0</v>
      </c>
      <c r="T224">
        <f t="shared" si="103"/>
        <v>3</v>
      </c>
      <c r="U224">
        <f t="shared" si="104"/>
        <v>3</v>
      </c>
      <c r="V224" s="22">
        <f>LOOKUP(A219,Reference!$A$2:$X$2,Reference!$A$29:$X$29)</f>
        <v>204</v>
      </c>
      <c r="W224" s="22">
        <f>IF(AND(A219=1,NOT(C231=424)),J230,0)+IF(A219=2,L238,0)+IF(A219=3,P232,0)+IF(A219=4,S233,0)</f>
        <v>2400</v>
      </c>
      <c r="X224" s="22" t="str">
        <f>LOOKUP(B219,Reference!$A$2:$X$2,Reference!$A$29:$X$29)</f>
        <v>SY</v>
      </c>
      <c r="Y224" s="22" t="str">
        <f>LOOKUP(C219,Reference!$A$2:$X$2,Reference!$A$29:$X$29)</f>
        <v>Subgrade Compaction</v>
      </c>
      <c r="Z224" s="22">
        <f>IF(AND(A219=1,NOT(C231=424)),C230,0)+IF(A219=4,R233,0)</f>
        <v>0</v>
      </c>
      <c r="AA224" s="22">
        <f>LOOKUP(D219,Reference!$A$2:$X$2,Reference!$A$29:$X$29)</f>
        <v>0</v>
      </c>
      <c r="AB224" s="22"/>
      <c r="AC224" s="22"/>
      <c r="AD224" s="22"/>
      <c r="AE224" s="1">
        <f t="shared" si="92"/>
        <v>204</v>
      </c>
      <c r="AF224" s="1">
        <f t="shared" si="93"/>
        <v>2400</v>
      </c>
      <c r="AG224" s="1" t="str">
        <f t="shared" si="94"/>
        <v>SY</v>
      </c>
      <c r="AH224" s="1" t="str">
        <f t="shared" si="95"/>
        <v>Subgrade Compaction</v>
      </c>
      <c r="AI224" s="1">
        <f t="shared" si="96"/>
      </c>
      <c r="AJ224" s="1">
        <f t="shared" si="97"/>
      </c>
      <c r="AK224" s="1">
        <f t="shared" si="98"/>
      </c>
      <c r="AL224" s="1">
        <f t="shared" si="99"/>
      </c>
      <c r="AM224" s="1">
        <f t="shared" si="100"/>
      </c>
      <c r="AN224" s="1"/>
      <c r="AO224" s="27">
        <f>LOOKUP(F219,Reference!A$2:X$2,Reference!$A$29:$X$29)</f>
        <v>1</v>
      </c>
      <c r="AP224" s="30"/>
      <c r="AQ224" s="27">
        <f t="shared" si="101"/>
        <v>1</v>
      </c>
      <c r="AR224" s="1" t="str">
        <f t="shared" si="102"/>
        <v>Subgrade Compaction</v>
      </c>
    </row>
    <row r="225" spans="1:44" ht="12.75">
      <c r="A225" s="3" t="str">
        <f>LOOKUP(A219,Reference!$A$2:$X$2,Reference!A$8:X$8)</f>
        <v>Berm Depth</v>
      </c>
      <c r="B225" s="3"/>
      <c r="C225" s="5">
        <v>0</v>
      </c>
      <c r="D225" t="str">
        <f>LOOKUP(C219,Reference!$A$2:$X$2,Reference!A$8:X$8)</f>
        <v>inches</v>
      </c>
      <c r="H225" s="12"/>
      <c r="I225" s="11"/>
      <c r="J225" s="9"/>
      <c r="K225" s="11"/>
      <c r="N225" s="7"/>
      <c r="O225" s="11"/>
      <c r="P225" s="9"/>
      <c r="R225" s="11"/>
      <c r="S225" s="9"/>
      <c r="T225">
        <f t="shared" si="103"/>
        <v>4</v>
      </c>
      <c r="U225">
        <f t="shared" si="104"/>
        <v>4</v>
      </c>
      <c r="V225" s="22">
        <f>LOOKUP(A219,Reference!$A$2:$X$2,Reference!$A$30:$X$30)</f>
        <v>301</v>
      </c>
      <c r="W225" s="22">
        <f>+IF(A219=2,M232,0)+IF(A219=3,P224,0)+IF(A219=4,S232,0)+IF(A219=1,J233,0)</f>
        <v>333</v>
      </c>
      <c r="X225" s="22" t="str">
        <f>LOOKUP(B219,Reference!$A$2:$X$2,Reference!$A$30:$X$30)</f>
        <v>CY</v>
      </c>
      <c r="Y225" s="22" t="str">
        <f>LOOKUP(C219,Reference!$A$2:$X$2,Reference!$A$30:$X$30)</f>
        <v>Bituminous Aggregate Base, (</v>
      </c>
      <c r="Z225" s="22">
        <f>IF(A219=2,C233,0)+IF(A219=3,C225,0)+IF(A219=4,R234,0)</f>
        <v>5</v>
      </c>
      <c r="AA225" s="22" t="str">
        <f>LOOKUP(D219,Reference!$A$2:$X$2,Reference!$A$30:$X$30)</f>
        <v>" average compacted depth, includes 407 tack coat on vertical face)</v>
      </c>
      <c r="AB225" s="22">
        <f>IF(A219=4,R232,0)</f>
        <v>0</v>
      </c>
      <c r="AC225" s="22"/>
      <c r="AD225" s="22">
        <f>LOOKUP(E219,Reference!$A$2:$X$2,Reference!$A$30:$X$30)</f>
        <v>0</v>
      </c>
      <c r="AE225" s="1">
        <f t="shared" si="92"/>
        <v>301</v>
      </c>
      <c r="AF225" s="1">
        <f t="shared" si="93"/>
        <v>333</v>
      </c>
      <c r="AG225" s="1" t="str">
        <f t="shared" si="94"/>
        <v>CY</v>
      </c>
      <c r="AH225" s="1" t="str">
        <f t="shared" si="95"/>
        <v>Bituminous Aggregate Base, (</v>
      </c>
      <c r="AI225" s="1">
        <f t="shared" si="96"/>
        <v>5</v>
      </c>
      <c r="AJ225" s="1" t="str">
        <f t="shared" si="97"/>
        <v>" average compacted depth, includes 407 tack coat on vertical face)</v>
      </c>
      <c r="AK225" s="1">
        <f t="shared" si="98"/>
      </c>
      <c r="AL225" s="1">
        <f t="shared" si="99"/>
      </c>
      <c r="AM225" s="1">
        <f t="shared" si="100"/>
      </c>
      <c r="AN225" s="1"/>
      <c r="AO225" s="27">
        <f>LOOKUP(F219,Reference!A$2:X$2,Reference!$A$30:$X$30)</f>
        <v>145</v>
      </c>
      <c r="AP225" s="30">
        <v>185</v>
      </c>
      <c r="AQ225" s="27">
        <f t="shared" si="101"/>
        <v>185</v>
      </c>
      <c r="AR225" s="1" t="str">
        <f t="shared" si="102"/>
        <v>Bituminous Aggregate Base, (5" average compacted depth, includes 407 tack coat on vertical face)</v>
      </c>
    </row>
    <row r="226" spans="1:44" ht="12.75">
      <c r="A226" s="3" t="str">
        <f>LOOKUP(A219,Reference!$A$2:$X$2,Reference!A$9:X$9)</f>
        <v>Pavement Planing</v>
      </c>
      <c r="B226" s="3"/>
      <c r="C226" s="5">
        <v>550</v>
      </c>
      <c r="D226" s="5"/>
      <c r="E226" s="5"/>
      <c r="F226" s="5"/>
      <c r="G226" s="5"/>
      <c r="H226" s="7" t="s">
        <v>52</v>
      </c>
      <c r="I226" s="11">
        <f>IF(A219=1,C226,0)</f>
        <v>0</v>
      </c>
      <c r="J226" s="9">
        <f>IF(A219=1,SUM(D226:G226),0)</f>
        <v>0</v>
      </c>
      <c r="K226" s="7" t="s">
        <v>52</v>
      </c>
      <c r="L226" s="11">
        <f>IF(A219=2,C226,0)</f>
        <v>550</v>
      </c>
      <c r="M226" s="11">
        <f>IF(A219=2,SUM(D226:G226),0)</f>
        <v>0</v>
      </c>
      <c r="N226" s="7"/>
      <c r="O226" s="11"/>
      <c r="P226" s="9"/>
      <c r="R226" s="11"/>
      <c r="S226" s="9"/>
      <c r="T226">
        <f t="shared" si="103"/>
        <v>5</v>
      </c>
      <c r="U226">
        <f t="shared" si="104"/>
        <v>5</v>
      </c>
      <c r="V226" s="22">
        <f>LOOKUP(A219,Reference!$A$2:$X$2,Reference!$A$31:$X$31)</f>
        <v>407</v>
      </c>
      <c r="W226" s="22">
        <f>IF(A219=2,M235+M236,0)+IF(AND(C228&gt;0,A219=3),1,0)+IF(A219=4,S235,0)+IF(AND(A219=1,C231=424),J230,0)</f>
        <v>485</v>
      </c>
      <c r="X226" s="22" t="str">
        <f>LOOKUP(B219,Reference!$A$2:$X$2,Reference!$A$31:$X$31)</f>
        <v>Gal</v>
      </c>
      <c r="Y226" s="22" t="str">
        <f>LOOKUP(C219,Reference!$A$2:$X$2,Reference!$A$31:$X$31)</f>
        <v>Bituminous Tack Coat applied at 0.05 gallons per square yard</v>
      </c>
      <c r="Z226" s="28">
        <f>IF(AND(A219=1,C231=424),C230,0)</f>
        <v>0</v>
      </c>
      <c r="AA226" s="22">
        <f>LOOKUP(D219,Reference!$A$2:$X$2,Reference!$A$31:$X$31)</f>
        <v>0</v>
      </c>
      <c r="AB226" s="22"/>
      <c r="AC226" s="22"/>
      <c r="AD226" s="22"/>
      <c r="AE226" s="1">
        <f t="shared" si="92"/>
        <v>407</v>
      </c>
      <c r="AF226" s="1">
        <f t="shared" si="93"/>
        <v>485</v>
      </c>
      <c r="AG226" s="1" t="str">
        <f t="shared" si="94"/>
        <v>Gal</v>
      </c>
      <c r="AH226" s="1" t="str">
        <f t="shared" si="95"/>
        <v>Bituminous Tack Coat applied at 0.05 gallons per square yard</v>
      </c>
      <c r="AI226" s="1">
        <f t="shared" si="96"/>
      </c>
      <c r="AJ226" s="1">
        <f t="shared" si="97"/>
      </c>
      <c r="AK226" s="1">
        <f t="shared" si="98"/>
      </c>
      <c r="AL226" s="1">
        <f t="shared" si="99"/>
      </c>
      <c r="AM226" s="1">
        <f t="shared" si="100"/>
      </c>
      <c r="AN226" s="1"/>
      <c r="AO226" s="27">
        <f>LOOKUP(F219,Reference!A$2:X$2,Reference!$A$31:$X$31)</f>
        <v>2.1</v>
      </c>
      <c r="AP226" s="30"/>
      <c r="AQ226" s="27">
        <f t="shared" si="101"/>
        <v>2.1</v>
      </c>
      <c r="AR226" s="1" t="str">
        <f t="shared" si="102"/>
        <v>Bituminous Tack Coat applied at 0.05 gallons per square yard</v>
      </c>
    </row>
    <row r="227" spans="1:44" ht="12.75">
      <c r="A227" s="3" t="str">
        <f>LOOKUP(A219,Reference!$A$2:$X$2,Reference!A$10:X$10)</f>
        <v>Additional Paved Area</v>
      </c>
      <c r="B227" s="3"/>
      <c r="C227" s="5">
        <v>0</v>
      </c>
      <c r="D227" t="str">
        <f>LOOKUP(C219,Reference!$A$2:$X$2,Reference!A$10:X$10)</f>
        <v>Sq Ft</v>
      </c>
      <c r="H227" s="12" t="s">
        <v>48</v>
      </c>
      <c r="I227" s="11">
        <f>IF(A219=1,C227*C228,0)</f>
        <v>0</v>
      </c>
      <c r="J227" s="9"/>
      <c r="K227" s="14" t="s">
        <v>53</v>
      </c>
      <c r="L227">
        <f>IF(A219=2,C227,0)</f>
        <v>0</v>
      </c>
      <c r="N227" s="17" t="s">
        <v>48</v>
      </c>
      <c r="O227" s="11">
        <f>IF(A219=3,C227*C228,0)</f>
        <v>0</v>
      </c>
      <c r="P227" s="9"/>
      <c r="Q227" s="17" t="s">
        <v>48</v>
      </c>
      <c r="R227" s="11">
        <f>IF(A219=4,C227*C228,0)</f>
        <v>0</v>
      </c>
      <c r="S227" s="9"/>
      <c r="T227">
        <f t="shared" si="103"/>
        <v>5.00001</v>
      </c>
      <c r="U227">
        <f t="shared" si="104"/>
        <v>5</v>
      </c>
      <c r="V227" s="22">
        <f>LOOKUP(A219,Reference!$A$2:$X$2,Reference!$A$32:$X$32)</f>
        <v>441</v>
      </c>
      <c r="W227" s="22">
        <f>IF(A219=2,M230,0)+IF(AND(C228&gt;0,A219=3),1,0)+IF(A219=4,S224,0)+IF(A219=1,J224,0)</f>
        <v>0</v>
      </c>
      <c r="X227" s="22" t="str">
        <f>LOOKUP(B219,Reference!$A$2:$X$2,Reference!$A$32:$X$32)</f>
        <v>C.Y.</v>
      </c>
      <c r="Y227" s="22" t="str">
        <f>LOOKUP(C219,Reference!$A$2:$X$2,Reference!$A$32:$X$32)</f>
        <v>Asphalt intermediate course PG 64-22, Type 1 (823) applied, spread and compacted at the average depth of </v>
      </c>
      <c r="Z227" s="22">
        <f>IF(A219=2,C230,0)+IF(A219=4,C225,0)+IF(A219=1,C225,0)</f>
        <v>0</v>
      </c>
      <c r="AA227" s="22" t="str">
        <f>LOOKUP(D219,Reference!$A$2:$X$2,Reference!$A$32:$X$32)</f>
        <v> inches</v>
      </c>
      <c r="AB227" s="22"/>
      <c r="AC227" s="22"/>
      <c r="AD227" s="22"/>
      <c r="AE227" s="1">
        <f t="shared" si="92"/>
        <v>441</v>
      </c>
      <c r="AF227" s="1">
        <f t="shared" si="93"/>
      </c>
      <c r="AG227" s="1" t="str">
        <f t="shared" si="94"/>
        <v>C.Y.</v>
      </c>
      <c r="AH227" s="1" t="str">
        <f t="shared" si="95"/>
        <v>Asphalt intermediate course PG 64-22, Type 1 (823) applied, spread and compacted at the average depth of </v>
      </c>
      <c r="AI227" s="1">
        <f t="shared" si="96"/>
      </c>
      <c r="AJ227" s="1" t="str">
        <f t="shared" si="97"/>
        <v> inches</v>
      </c>
      <c r="AK227" s="1">
        <f t="shared" si="98"/>
      </c>
      <c r="AL227" s="1">
        <f t="shared" si="99"/>
      </c>
      <c r="AM227" s="1">
        <f t="shared" si="100"/>
      </c>
      <c r="AN227" s="1"/>
      <c r="AO227" s="27">
        <f>LOOKUP(F219,Reference!A$2:X$2,Reference!$A$32:$X$32)</f>
        <v>150</v>
      </c>
      <c r="AP227" s="30"/>
      <c r="AQ227" s="27">
        <f t="shared" si="101"/>
        <v>150</v>
      </c>
      <c r="AR227" s="1" t="str">
        <f t="shared" si="102"/>
        <v>Asphalt intermediate course PG 64-22, Type 1 (823) applied, spread and compacted at the average depth of  inches</v>
      </c>
    </row>
    <row r="228" spans="1:44" ht="12.75">
      <c r="A228" s="3" t="str">
        <f>LOOKUP(A219,Reference!$A$2:$X$2,Reference!A$11:X$11)</f>
        <v>Pavement Width (total)</v>
      </c>
      <c r="B228" s="3"/>
      <c r="C228" s="5">
        <v>16</v>
      </c>
      <c r="D228" t="str">
        <f>LOOKUP(C219,Reference!$A$2:$X$2,Reference!A$11:X$11)</f>
        <v>feet</v>
      </c>
      <c r="H228" s="12" t="s">
        <v>46</v>
      </c>
      <c r="I228" s="11">
        <f>IF(A219=1,I227+I223+I222,0)</f>
        <v>0</v>
      </c>
      <c r="J228" s="9"/>
      <c r="K228" s="12" t="s">
        <v>48</v>
      </c>
      <c r="L228">
        <f>IF(A219=2,C228*C229,0)</f>
        <v>86400</v>
      </c>
      <c r="N228" s="17" t="s">
        <v>46</v>
      </c>
      <c r="O228" s="11">
        <f>O227+O222+O223</f>
        <v>0</v>
      </c>
      <c r="P228" s="9"/>
      <c r="Q228" s="17" t="s">
        <v>46</v>
      </c>
      <c r="R228" s="11">
        <f>R227+R222+R223</f>
        <v>0</v>
      </c>
      <c r="S228" s="9"/>
      <c r="T228">
        <f t="shared" si="103"/>
        <v>6</v>
      </c>
      <c r="U228">
        <f t="shared" si="104"/>
        <v>6</v>
      </c>
      <c r="V228" s="22">
        <f>LOOKUP(A219,Reference!$A$2:$X$2,Reference!$A$33:$X$33)</f>
        <v>441</v>
      </c>
      <c r="W228" s="22">
        <f>IF(AND(A219=2,NOT(C237=424)),M231,0)+IF(AND(C228&gt;0,A219=3),1,0)+IF(AND(C228&gt;0,A219=4),1,0)+IF(A219=1,I226,0)</f>
        <v>404</v>
      </c>
      <c r="X228" s="22" t="str">
        <f>LOOKUP(B219,Reference!$A$2:$X$2,Reference!$A$33:$X$33)</f>
        <v>C.Y.</v>
      </c>
      <c r="Y228" s="22" t="str">
        <f>LOOKUP(C219,Reference!$A$2:$X$2,Reference!$A$33:$X$33)</f>
        <v>Asphalt concrete surface course PG 64-22, Type 1 (823) applied, spread and compacted at the average depth of </v>
      </c>
      <c r="Z228" s="22">
        <f>IF(AND(A219=2,NOT(C237=424)),C231,0)+IF(A219=1,J226,0)</f>
        <v>1.5</v>
      </c>
      <c r="AA228" s="22" t="str">
        <f>LOOKUP(D219,Reference!$A$2:$X$2,Reference!$A$33:$X$33)</f>
        <v> inches</v>
      </c>
      <c r="AB228" s="22"/>
      <c r="AC228" s="22"/>
      <c r="AD228" s="22"/>
      <c r="AE228" s="1">
        <f t="shared" si="92"/>
        <v>441</v>
      </c>
      <c r="AF228" s="1">
        <f t="shared" si="93"/>
        <v>404</v>
      </c>
      <c r="AG228" s="1" t="str">
        <f t="shared" si="94"/>
        <v>C.Y.</v>
      </c>
      <c r="AH228" s="1" t="str">
        <f t="shared" si="95"/>
        <v>Asphalt concrete surface course PG 64-22, Type 1 (823) applied, spread and compacted at the average depth of </v>
      </c>
      <c r="AI228" s="1">
        <f t="shared" si="96"/>
        <v>1.5</v>
      </c>
      <c r="AJ228" s="1" t="str">
        <f t="shared" si="97"/>
        <v> inches</v>
      </c>
      <c r="AK228" s="1">
        <f t="shared" si="98"/>
      </c>
      <c r="AL228" s="1">
        <f t="shared" si="99"/>
      </c>
      <c r="AM228" s="1">
        <f t="shared" si="100"/>
      </c>
      <c r="AN228" s="1"/>
      <c r="AO228" s="27">
        <f>LOOKUP(F219,Reference!A$2:X$2,Reference!$A$33:$X$33)</f>
        <v>150</v>
      </c>
      <c r="AP228" s="30">
        <v>185</v>
      </c>
      <c r="AQ228" s="27">
        <f t="shared" si="101"/>
        <v>185</v>
      </c>
      <c r="AR228" s="1" t="str">
        <f t="shared" si="102"/>
        <v>Asphalt concrete surface course PG 64-22, Type 1 (823) applied, spread and compacted at the average depth of 1.5 inches</v>
      </c>
    </row>
    <row r="229" spans="1:44" ht="12.75">
      <c r="A229" s="3" t="str">
        <f>LOOKUP(A219,Reference!$A$2:$X$2,Reference!A$12:X$12)</f>
        <v>Pavement Length </v>
      </c>
      <c r="B229" s="3"/>
      <c r="C229" s="5">
        <v>5400</v>
      </c>
      <c r="D229" t="str">
        <f>LOOKUP(C219,Reference!$A$2:$X$2,Reference!A$12:X$12)</f>
        <v>feet</v>
      </c>
      <c r="H229" s="7"/>
      <c r="I229" s="11"/>
      <c r="J229" s="13">
        <f>MROUND(I228*C229/12*1/27+0.4,1)</f>
        <v>0</v>
      </c>
      <c r="K229" s="12" t="s">
        <v>46</v>
      </c>
      <c r="L229">
        <f>IF(A219=2,L222+L223+L227+L228,0)</f>
        <v>87336</v>
      </c>
      <c r="N229" s="18" t="s">
        <v>70</v>
      </c>
      <c r="O229" s="8">
        <f>IF(A219=3,C229,0)</f>
        <v>0</v>
      </c>
      <c r="P229" s="9">
        <f>MROUND(O228/9*O229/2400+2,5)</f>
        <v>0</v>
      </c>
      <c r="Q229" s="18" t="s">
        <v>77</v>
      </c>
      <c r="R229" s="8">
        <f>IF(A219=4,C229,0)</f>
        <v>0</v>
      </c>
      <c r="S229" s="9">
        <f>MROUND(R228/9*R229/2400+2,5)</f>
        <v>0</v>
      </c>
      <c r="T229">
        <f t="shared" si="103"/>
        <v>6.00001</v>
      </c>
      <c r="U229">
        <f t="shared" si="104"/>
        <v>6</v>
      </c>
      <c r="V229" s="22">
        <f>LOOKUP(A219,Reference!$A$2:$X$2,Reference!$A$34:$X$34)</f>
        <v>407</v>
      </c>
      <c r="W229" s="22">
        <f>IF(AND(C228&gt;0,A219=1),1,0)+IF(AND(C228&gt;0,A219=4),1,0)+IF(A219=2,M237,0)</f>
        <v>0</v>
      </c>
      <c r="X229" s="22" t="str">
        <f>LOOKUP(B219,Reference!$A$2:$X$2,Reference!$A$34:$X$34)</f>
        <v>Gal</v>
      </c>
      <c r="Y229" s="22" t="str">
        <f>LOOKUP(C219,Reference!$A$2:$X$2,Reference!$A$34:$X$34)</f>
        <v>Rubberized Latex Tack Coat (0.08 Gal./S.Y.)</v>
      </c>
      <c r="Z229" s="22"/>
      <c r="AA229" s="22">
        <f>LOOKUP(D219,Reference!$A$2:$X$2,Reference!$A$34:$X$34)</f>
        <v>0</v>
      </c>
      <c r="AB229" s="22"/>
      <c r="AC229" s="22"/>
      <c r="AD229" s="22"/>
      <c r="AE229" s="1">
        <f t="shared" si="92"/>
        <v>407</v>
      </c>
      <c r="AF229" s="1">
        <f t="shared" si="93"/>
      </c>
      <c r="AG229" s="1" t="str">
        <f t="shared" si="94"/>
        <v>Gal</v>
      </c>
      <c r="AH229" s="1" t="str">
        <f t="shared" si="95"/>
        <v>Rubberized Latex Tack Coat (0.08 Gal./S.Y.)</v>
      </c>
      <c r="AI229" s="1">
        <f t="shared" si="96"/>
      </c>
      <c r="AJ229" s="1">
        <f t="shared" si="97"/>
      </c>
      <c r="AK229" s="1">
        <f t="shared" si="98"/>
      </c>
      <c r="AL229" s="1">
        <f t="shared" si="99"/>
      </c>
      <c r="AM229" s="1">
        <f t="shared" si="100"/>
      </c>
      <c r="AN229" s="1"/>
      <c r="AO229" s="27">
        <f>LOOKUP(F219,Reference!A$2:X$2,Reference!$A$34:$X$34)</f>
        <v>3.5</v>
      </c>
      <c r="AP229" s="30"/>
      <c r="AQ229" s="27">
        <f t="shared" si="101"/>
        <v>3.5</v>
      </c>
      <c r="AR229" s="1" t="str">
        <f t="shared" si="102"/>
        <v>Rubberized Latex Tack Coat (0.08 Gal./S.Y.)</v>
      </c>
    </row>
    <row r="230" spans="1:44" ht="12.75">
      <c r="A230" s="3" t="str">
        <f>LOOKUP(A219,Reference!$A$2:$X$2,Reference!A$13:X$13)</f>
        <v>Intermediate Course</v>
      </c>
      <c r="B230" s="3"/>
      <c r="C230" s="5">
        <v>0</v>
      </c>
      <c r="D230" t="str">
        <f>LOOKUP(C219,Reference!$A$2:$X$2,Reference!A$13:X$13)</f>
        <v>inches</v>
      </c>
      <c r="H230" s="7"/>
      <c r="I230" s="11"/>
      <c r="J230" s="13">
        <f>MROUND(I228*C230/12*1/27+0.4,1)</f>
        <v>0</v>
      </c>
      <c r="K230" s="3" t="s">
        <v>54</v>
      </c>
      <c r="M230">
        <f>MROUND(L229*C230/12*1/27,1)</f>
        <v>0</v>
      </c>
      <c r="N230" s="18" t="s">
        <v>64</v>
      </c>
      <c r="O230" s="11">
        <f>IF(A219=3,C230,0)</f>
        <v>0</v>
      </c>
      <c r="P230" s="9">
        <f>MROUND(O230*O228/9+2.4,5)</f>
        <v>0</v>
      </c>
      <c r="Q230" s="18" t="s">
        <v>78</v>
      </c>
      <c r="R230" s="11">
        <f>IF(A219=4,C230,0)</f>
        <v>0</v>
      </c>
      <c r="S230" s="9">
        <f>MROUND(R230*R228/9+2.4,5)</f>
        <v>0</v>
      </c>
      <c r="T230">
        <f t="shared" si="103"/>
        <v>6.000019999999999</v>
      </c>
      <c r="U230">
        <f t="shared" si="104"/>
        <v>6</v>
      </c>
      <c r="V230" s="22">
        <f>LOOKUP(A219,Reference!$A$2:$X$2,Reference!$A$35:$X$35)</f>
        <v>424</v>
      </c>
      <c r="W230" s="22">
        <f>IF(AND(C228&gt;0,A219=1),1,0)+IF(AND(C228&gt;0,A219=4),1,0)+IF(AND(A219=2,C237=424),M231,0)</f>
        <v>0</v>
      </c>
      <c r="X230" s="22" t="str">
        <f>LOOKUP(B219,Reference!$A$2:$X$2,Reference!$A$35:$X$35)</f>
        <v>C.Y.</v>
      </c>
      <c r="Y230" s="22" t="str">
        <f>LOOKUP(C219,Reference!$A$2:$X$2,Reference!$A$35:$X$35)</f>
        <v>Type B Smooth Seal Asphalt PG76-22, spread and compacted at the average depth of </v>
      </c>
      <c r="Z230" s="22">
        <f>IF(AND(A219=2,C237=424),C231,0)</f>
        <v>0</v>
      </c>
      <c r="AA230" s="22" t="str">
        <f>LOOKUP(D219,Reference!$A$2:$X$2,Reference!$A$35:$X$35)</f>
        <v> inches</v>
      </c>
      <c r="AB230" s="22"/>
      <c r="AC230" s="22"/>
      <c r="AD230" s="22"/>
      <c r="AE230" s="1">
        <f t="shared" si="92"/>
        <v>424</v>
      </c>
      <c r="AF230" s="1">
        <f t="shared" si="93"/>
      </c>
      <c r="AG230" s="1" t="str">
        <f t="shared" si="94"/>
        <v>C.Y.</v>
      </c>
      <c r="AH230" s="1" t="str">
        <f t="shared" si="95"/>
        <v>Type B Smooth Seal Asphalt PG76-22, spread and compacted at the average depth of </v>
      </c>
      <c r="AI230" s="1">
        <f t="shared" si="96"/>
      </c>
      <c r="AJ230" s="1" t="str">
        <f t="shared" si="97"/>
        <v> inches</v>
      </c>
      <c r="AK230" s="1">
        <f t="shared" si="98"/>
      </c>
      <c r="AL230" s="1">
        <f t="shared" si="99"/>
      </c>
      <c r="AM230" s="1">
        <f t="shared" si="100"/>
      </c>
      <c r="AN230" s="1"/>
      <c r="AO230" s="27">
        <f>LOOKUP(F219,Reference!A$2:X$2,Reference!$A$35:$X$35)</f>
        <v>225</v>
      </c>
      <c r="AP230" s="30"/>
      <c r="AQ230" s="27">
        <f t="shared" si="101"/>
        <v>225</v>
      </c>
      <c r="AR230" s="1" t="str">
        <f t="shared" si="102"/>
        <v>Type B Smooth Seal Asphalt PG76-22, spread and compacted at the average depth of  inches</v>
      </c>
    </row>
    <row r="231" spans="1:44" ht="12.75">
      <c r="A231" s="3" t="str">
        <f>LOOKUP(A219,Reference!$A$2:$X$2,Reference!A$14:X$14)</f>
        <v>Surface Course</v>
      </c>
      <c r="B231" s="3"/>
      <c r="C231" s="5">
        <v>1.5</v>
      </c>
      <c r="D231" t="str">
        <f>LOOKUP(C219,Reference!$A$2:$X$2,Reference!A$14:X$14)</f>
        <v>inches</v>
      </c>
      <c r="H231" s="12" t="s">
        <v>88</v>
      </c>
      <c r="I231" s="11">
        <v>0.05</v>
      </c>
      <c r="J231" s="9">
        <f>MROUND(I231*I228/9,5)</f>
        <v>0</v>
      </c>
      <c r="K231" s="8" t="s">
        <v>55</v>
      </c>
      <c r="M231">
        <f>MROUND(L229*C231/12*1/27,1)</f>
        <v>404</v>
      </c>
      <c r="N231" s="12" t="s">
        <v>69</v>
      </c>
      <c r="O231" s="11">
        <f>IF(A219=3,C231,0)</f>
        <v>0</v>
      </c>
      <c r="P231" s="9"/>
      <c r="Q231" s="12" t="s">
        <v>79</v>
      </c>
      <c r="R231" s="11">
        <f>IF(A219=4,C231,0)</f>
        <v>0</v>
      </c>
      <c r="S231" s="9"/>
      <c r="T231">
        <f t="shared" si="103"/>
        <v>6.000029999999999</v>
      </c>
      <c r="U231">
        <f t="shared" si="104"/>
        <v>6</v>
      </c>
      <c r="V231" s="22">
        <f>LOOKUP(A219,Reference!$A$2:$X$2,Reference!$A$36:$X$36)</f>
        <v>617</v>
      </c>
      <c r="W231" s="22">
        <f>+IF(A219=2,M224,0)+IF(AND(C228&gt;0,A219=1),1,0)</f>
        <v>0</v>
      </c>
      <c r="X231" s="22" t="str">
        <f>LOOKUP(B219,Reference!$A$2:$X$2,Reference!$A$36:$X$36)</f>
        <v>CY</v>
      </c>
      <c r="Y231" s="22" t="str">
        <f>LOOKUP(C219,Reference!$A$2:$X$2,Reference!$A$36:$X$36)</f>
        <v>Stabilized crushed aggregate berm in place and compacted at the average depth of </v>
      </c>
      <c r="Z231" s="22">
        <f>IF(A219=2,C225,0)</f>
        <v>0</v>
      </c>
      <c r="AA231" s="22" t="str">
        <f>LOOKUP(D219,Reference!$A$2:$X$2,Reference!$A$36:$X$36)</f>
        <v> inches</v>
      </c>
      <c r="AB231" s="22"/>
      <c r="AC231" s="22"/>
      <c r="AD231" s="22"/>
      <c r="AE231" s="1">
        <f t="shared" si="92"/>
        <v>617</v>
      </c>
      <c r="AF231" s="1">
        <f t="shared" si="93"/>
      </c>
      <c r="AG231" s="1" t="str">
        <f t="shared" si="94"/>
        <v>CY</v>
      </c>
      <c r="AH231" s="1" t="str">
        <f t="shared" si="95"/>
        <v>Stabilized crushed aggregate berm in place and compacted at the average depth of </v>
      </c>
      <c r="AI231" s="1">
        <f t="shared" si="96"/>
      </c>
      <c r="AJ231" s="1" t="str">
        <f t="shared" si="97"/>
        <v> inches</v>
      </c>
      <c r="AK231" s="1">
        <f t="shared" si="98"/>
      </c>
      <c r="AL231" s="1">
        <f t="shared" si="99"/>
      </c>
      <c r="AM231" s="1">
        <f t="shared" si="100"/>
      </c>
      <c r="AN231" s="1"/>
      <c r="AO231" s="27">
        <f>LOOKUP(F219,Reference!A$2:X$2,Reference!$A$36:$X$36)</f>
        <v>60</v>
      </c>
      <c r="AP231" s="30"/>
      <c r="AQ231" s="27">
        <f t="shared" si="101"/>
        <v>60</v>
      </c>
      <c r="AR231" s="1" t="str">
        <f t="shared" si="102"/>
        <v>Stabilized crushed aggregate berm in place and compacted at the average depth of  inches</v>
      </c>
    </row>
    <row r="232" spans="1:44" ht="12.75">
      <c r="A232" s="3" t="str">
        <f>LOOKUP(A219,Reference!$A$2:$X$2,Reference!A$15:X$15)</f>
        <v>Widening Width (total)</v>
      </c>
      <c r="B232" s="3"/>
      <c r="C232" s="5">
        <v>4</v>
      </c>
      <c r="D232" t="str">
        <f>LOOKUP(C219,Reference!$A$2:$X$2,Reference!A$15:X$15)</f>
        <v>Feet</v>
      </c>
      <c r="H232" s="12" t="s">
        <v>89</v>
      </c>
      <c r="I232" s="11">
        <f>IF(C229&gt;0.1,0.05,0)</f>
        <v>0.05</v>
      </c>
      <c r="J232" s="9">
        <f>IF(AND(A219=1,NOT(C231=424)),MROUND(I232*I228/9,5),0)</f>
        <v>0</v>
      </c>
      <c r="K232" s="15" t="s">
        <v>57</v>
      </c>
      <c r="L232">
        <f>IF(A219=2,C229*C232,0)</f>
        <v>21600</v>
      </c>
      <c r="M232">
        <f>MROUND(L232*C233/12*1/27,1)</f>
        <v>333</v>
      </c>
      <c r="N232" s="12" t="s">
        <v>59</v>
      </c>
      <c r="O232" s="11">
        <f>IF(A219=3,C232,0)</f>
        <v>0</v>
      </c>
      <c r="P232" s="9">
        <f>MROUND(O232*O228/9+2.4,5)</f>
        <v>0</v>
      </c>
      <c r="Q232" s="18" t="s">
        <v>80</v>
      </c>
      <c r="R232" s="8">
        <f>IF(A219=4,C232,0)</f>
        <v>0</v>
      </c>
      <c r="S232" s="9">
        <f>MROUND(R228/9*R232/2400+2,5)</f>
        <v>0</v>
      </c>
      <c r="T232">
        <f t="shared" si="103"/>
        <v>7</v>
      </c>
      <c r="U232">
        <f t="shared" si="104"/>
        <v>7</v>
      </c>
      <c r="V232" s="22">
        <f>LOOKUP(A219,Reference!$A$2:$X$2,Reference!$A$37:$X$37)</f>
        <v>254</v>
      </c>
      <c r="W232" s="22">
        <f>IF(A219=2,L226,0)</f>
        <v>550</v>
      </c>
      <c r="X232" s="22" t="str">
        <f>LOOKUP(B219,Reference!$A$2:$X$2,Reference!$A$37:$X$37)</f>
        <v>S.Y.</v>
      </c>
      <c r="Y232" s="22" t="str">
        <f>LOOKUP(C219,Reference!$A$2:$X$2,Reference!$A$37:$X$37)</f>
        <v>Pavement Planing (</v>
      </c>
      <c r="Z232" s="22">
        <f>IF(A219=2,M226,0)</f>
        <v>0</v>
      </c>
      <c r="AA232" s="22" t="str">
        <f>LOOKUP(D219,Reference!$A$2:$X$2,Reference!$A$37:$X$37)</f>
        <v> 20' including radius)</v>
      </c>
      <c r="AB232" s="22"/>
      <c r="AC232" s="22"/>
      <c r="AD232" s="22"/>
      <c r="AE232" s="1">
        <f t="shared" si="92"/>
        <v>254</v>
      </c>
      <c r="AF232" s="1">
        <f t="shared" si="93"/>
        <v>550</v>
      </c>
      <c r="AG232" s="1" t="str">
        <f t="shared" si="94"/>
        <v>S.Y.</v>
      </c>
      <c r="AH232" s="1" t="str">
        <f t="shared" si="95"/>
        <v>Pavement Planing (</v>
      </c>
      <c r="AI232" s="1">
        <f t="shared" si="96"/>
      </c>
      <c r="AJ232" s="1" t="str">
        <f t="shared" si="97"/>
        <v> 20' including radius)</v>
      </c>
      <c r="AK232" s="1">
        <f t="shared" si="98"/>
      </c>
      <c r="AL232" s="1">
        <f t="shared" si="99"/>
      </c>
      <c r="AM232" s="1">
        <f t="shared" si="100"/>
      </c>
      <c r="AN232" s="1"/>
      <c r="AO232" s="27">
        <f>LOOKUP(F219,Reference!A$2:X$2,Reference!$A$37:$X$37)</f>
        <v>1000</v>
      </c>
      <c r="AP232" s="30">
        <v>12</v>
      </c>
      <c r="AQ232" s="27">
        <f t="shared" si="101"/>
        <v>12</v>
      </c>
      <c r="AR232" s="1" t="str">
        <f t="shared" si="102"/>
        <v>Pavement Planing ( 20' including radius)</v>
      </c>
    </row>
    <row r="233" spans="1:44" ht="12.75">
      <c r="A233" s="3" t="str">
        <f>LOOKUP(A219,Reference!$A$2:$X$2,Reference!A$16:X$16)</f>
        <v>Widening Depth</v>
      </c>
      <c r="B233" s="3"/>
      <c r="C233" s="5">
        <v>5</v>
      </c>
      <c r="D233" t="str">
        <f>LOOKUP(C219,Reference!$A$2:$X$2,Reference!A$16:X$16)</f>
        <v>inches</v>
      </c>
      <c r="H233" s="16" t="s">
        <v>132</v>
      </c>
      <c r="I233" s="11">
        <v>0.05</v>
      </c>
      <c r="J233" s="9">
        <f>IF(AND(A219=1,C231=424),MROUND(I233*I228/9,5),0)</f>
        <v>0</v>
      </c>
      <c r="K233" s="15" t="s">
        <v>96</v>
      </c>
      <c r="L233">
        <f>IF(A219=2,C234,0)</f>
        <v>2</v>
      </c>
      <c r="N233" s="7"/>
      <c r="O233" s="11"/>
      <c r="P233" s="9"/>
      <c r="Q233" s="18" t="s">
        <v>81</v>
      </c>
      <c r="R233" s="11">
        <f>IF(A219=4,C233,0)</f>
        <v>0</v>
      </c>
      <c r="S233" s="9">
        <f>MROUND(R233*R228/9+2.4,5)</f>
        <v>0</v>
      </c>
      <c r="T233">
        <f t="shared" si="103"/>
        <v>8</v>
      </c>
      <c r="U233">
        <f t="shared" si="104"/>
        <v>8</v>
      </c>
      <c r="V233" s="22">
        <f>LOOKUP(A219,Reference!$A$2:$X$2,Reference!$A$38:$X$38)</f>
        <v>614</v>
      </c>
      <c r="W233" s="22">
        <f>IF(AND(C229&gt;0,A219=2),1,0)</f>
        <v>1</v>
      </c>
      <c r="X233" s="22" t="str">
        <f>LOOKUP(B219,Reference!$A$2:$X$2,Reference!$A$38:$X$38)</f>
        <v>L.S.</v>
      </c>
      <c r="Y233" s="22" t="str">
        <f>LOOKUP(C219,Reference!$A$2:$X$2,Reference!$A$38:$X$38)</f>
        <v>Maintaining Traffic</v>
      </c>
      <c r="Z233" s="22"/>
      <c r="AA233" s="22">
        <f>LOOKUP(D219,Reference!$A$2:$X$2,Reference!$A$38:$X$38)</f>
        <v>0</v>
      </c>
      <c r="AB233" s="22"/>
      <c r="AC233" s="22"/>
      <c r="AD233" s="22"/>
      <c r="AE233" s="1">
        <f t="shared" si="92"/>
        <v>614</v>
      </c>
      <c r="AF233" s="1">
        <f t="shared" si="93"/>
        <v>1</v>
      </c>
      <c r="AG233" s="1" t="str">
        <f t="shared" si="94"/>
        <v>L.S.</v>
      </c>
      <c r="AH233" s="1" t="str">
        <f t="shared" si="95"/>
        <v>Maintaining Traffic</v>
      </c>
      <c r="AI233" s="1">
        <f t="shared" si="96"/>
      </c>
      <c r="AJ233" s="1">
        <f t="shared" si="97"/>
      </c>
      <c r="AK233" s="1">
        <f t="shared" si="98"/>
      </c>
      <c r="AL233" s="1">
        <f t="shared" si="99"/>
      </c>
      <c r="AM233" s="1">
        <f t="shared" si="100"/>
      </c>
      <c r="AN233" s="1"/>
      <c r="AO233" s="27">
        <f>LOOKUP(F219,Reference!A$2:X$2,Reference!$A$38:$X$38)</f>
        <v>2000</v>
      </c>
      <c r="AP233" s="30">
        <v>3000</v>
      </c>
      <c r="AQ233" s="27">
        <f t="shared" si="101"/>
        <v>3000</v>
      </c>
      <c r="AR233" s="1" t="str">
        <f t="shared" si="102"/>
        <v>Maintaining Traffic</v>
      </c>
    </row>
    <row r="234" spans="1:44" ht="12.75">
      <c r="A234" s="3" t="str">
        <f>LOOKUP(A219,Reference!$A$2:$X$2,Reference!A$17:X$17)</f>
        <v>Widen Width Per Side</v>
      </c>
      <c r="B234" s="3"/>
      <c r="C234" s="4">
        <v>2</v>
      </c>
      <c r="D234" t="str">
        <f>LOOKUP(C219,Reference!$A$2:$X$2,Reference!A$17:X$17)</f>
        <v>Instructions</v>
      </c>
      <c r="H234" s="12" t="s">
        <v>116</v>
      </c>
      <c r="I234" s="11">
        <f>IF(A219=1,C228,0)</f>
        <v>0</v>
      </c>
      <c r="J234" s="9"/>
      <c r="K234" s="15" t="s">
        <v>91</v>
      </c>
      <c r="L234">
        <f>IF(A219=2,C235,0)</f>
        <v>6</v>
      </c>
      <c r="N234" s="12" t="s">
        <v>116</v>
      </c>
      <c r="O234" s="11">
        <f>IF(A219=3,C228,0)</f>
        <v>0</v>
      </c>
      <c r="P234" s="9"/>
      <c r="Q234" s="12" t="s">
        <v>82</v>
      </c>
      <c r="R234" s="11">
        <f>IF(A219=4,C234,0)</f>
        <v>0</v>
      </c>
      <c r="S234" s="9"/>
      <c r="T234">
        <f t="shared" si="103"/>
        <v>9</v>
      </c>
      <c r="U234">
        <f t="shared" si="104"/>
        <v>9</v>
      </c>
      <c r="V234" s="22">
        <f>LOOKUP(A219,Reference!$A$2:$X$2,Reference!$A$39:$X$39)</f>
        <v>624</v>
      </c>
      <c r="W234" s="22">
        <f>IF(AND(C229&gt;0,A219=2),1,0)</f>
        <v>1</v>
      </c>
      <c r="X234" s="22" t="str">
        <f>LOOKUP(B219,Reference!$A$2:$X$2,Reference!$A$39:$X$39)</f>
        <v>L.S.</v>
      </c>
      <c r="Y234" s="22" t="str">
        <f>LOOKUP(C219,Reference!$A$2:$X$2,Reference!$A$39:$X$39)</f>
        <v>Mobilization</v>
      </c>
      <c r="Z234" s="22"/>
      <c r="AA234" s="22">
        <f>LOOKUP(D219,Reference!$A$2:$X$2,Reference!$A$39:$X$39)</f>
        <v>0</v>
      </c>
      <c r="AB234" s="22"/>
      <c r="AC234" s="22"/>
      <c r="AD234" s="22"/>
      <c r="AE234" s="1">
        <f t="shared" si="92"/>
        <v>624</v>
      </c>
      <c r="AF234" s="1">
        <f t="shared" si="93"/>
        <v>1</v>
      </c>
      <c r="AG234" s="1" t="str">
        <f t="shared" si="94"/>
        <v>L.S.</v>
      </c>
      <c r="AH234" s="1" t="str">
        <f t="shared" si="95"/>
        <v>Mobilization</v>
      </c>
      <c r="AI234" s="1">
        <f t="shared" si="96"/>
      </c>
      <c r="AJ234" s="1">
        <f t="shared" si="97"/>
      </c>
      <c r="AK234" s="1">
        <f t="shared" si="98"/>
      </c>
      <c r="AL234" s="1">
        <f t="shared" si="99"/>
      </c>
      <c r="AM234" s="1">
        <f t="shared" si="100"/>
      </c>
      <c r="AN234" s="1"/>
      <c r="AO234" s="27">
        <f>LOOKUP(F219,Reference!A$2:X$2,Reference!$A$39:$X$39)</f>
        <v>4000</v>
      </c>
      <c r="AP234" s="30">
        <v>3500</v>
      </c>
      <c r="AQ234" s="27">
        <f t="shared" si="101"/>
        <v>3500</v>
      </c>
      <c r="AR234" s="1" t="str">
        <f t="shared" si="102"/>
        <v>Mobilization</v>
      </c>
    </row>
    <row r="235" spans="1:44" ht="12.75">
      <c r="A235" s="3" t="str">
        <f>LOOKUP(A219,Reference!$A$2:$X$2,Reference!A$18:O$18)</f>
        <v>Mail Box Relocates</v>
      </c>
      <c r="B235" s="3"/>
      <c r="C235" s="5">
        <v>6</v>
      </c>
      <c r="D235">
        <f>LOOKUP(C219,Reference!$A$2:$X$2,Reference!A$18:X$18)</f>
        <v>0</v>
      </c>
      <c r="H235" s="12" t="s">
        <v>117</v>
      </c>
      <c r="I235" s="11">
        <f>IF(A219=1,C227,0)</f>
        <v>0</v>
      </c>
      <c r="J235" s="9"/>
      <c r="K235" s="16" t="s">
        <v>88</v>
      </c>
      <c r="L235">
        <v>0.05</v>
      </c>
      <c r="M235">
        <f>MROUND(L235*L229/9,5)</f>
        <v>485</v>
      </c>
      <c r="N235" s="12" t="s">
        <v>117</v>
      </c>
      <c r="O235" s="11">
        <f>IF(A219=3,C227,0)</f>
        <v>0</v>
      </c>
      <c r="P235" s="9"/>
      <c r="Q235" s="12" t="s">
        <v>59</v>
      </c>
      <c r="R235" s="11">
        <f>IF(A219=4,C235,0)</f>
        <v>0</v>
      </c>
      <c r="S235" s="9">
        <f>MROUND(R235*R228/9+2.4,5)</f>
        <v>0</v>
      </c>
      <c r="T235">
        <f t="shared" si="103"/>
        <v>10</v>
      </c>
      <c r="U235">
        <f t="shared" si="104"/>
        <v>10</v>
      </c>
      <c r="V235" s="22">
        <f>LOOKUP(A219,Reference!$A$2:$X$2,Reference!$A$40:$X$40)</f>
        <v>103.05</v>
      </c>
      <c r="W235" s="22">
        <f>IF(AND(C229&gt;0,A219=2),1,0)</f>
        <v>1</v>
      </c>
      <c r="X235" s="22" t="str">
        <f>LOOKUP(B219,Reference!$A$2:$X$2,Reference!$A$40:$X$40)</f>
        <v>L.S.</v>
      </c>
      <c r="Y235" s="22" t="str">
        <f>LOOKUP(C219,Reference!$A$2:$X$2,Reference!$A$40:$X$40)</f>
        <v>Contract Performance &amp; Payment Bond</v>
      </c>
      <c r="Z235" s="22"/>
      <c r="AA235" s="22">
        <f>LOOKUP(D219,Reference!$A$2:$X$2,Reference!$A$40:$X$40)</f>
        <v>0</v>
      </c>
      <c r="AB235" s="22"/>
      <c r="AC235" s="22"/>
      <c r="AD235" s="22"/>
      <c r="AE235" s="1">
        <f t="shared" si="92"/>
        <v>103.05</v>
      </c>
      <c r="AF235" s="1">
        <f t="shared" si="93"/>
        <v>1</v>
      </c>
      <c r="AG235" s="1" t="str">
        <f t="shared" si="94"/>
        <v>L.S.</v>
      </c>
      <c r="AH235" s="1" t="str">
        <f t="shared" si="95"/>
        <v>Contract Performance &amp; Payment Bond</v>
      </c>
      <c r="AI235" s="1">
        <f t="shared" si="96"/>
      </c>
      <c r="AJ235" s="1">
        <f t="shared" si="97"/>
      </c>
      <c r="AK235" s="1">
        <f t="shared" si="98"/>
      </c>
      <c r="AL235" s="1">
        <f t="shared" si="99"/>
      </c>
      <c r="AM235" s="1">
        <f t="shared" si="100"/>
      </c>
      <c r="AN235" s="1"/>
      <c r="AO235" s="27">
        <f>LOOKUP(F219,Reference!A$2:X$2,Reference!$A$40:$X$40)</f>
        <v>1000</v>
      </c>
      <c r="AP235" s="30">
        <v>1002.5</v>
      </c>
      <c r="AQ235" s="27">
        <f t="shared" si="101"/>
        <v>1002.5</v>
      </c>
      <c r="AR235" s="1" t="str">
        <f t="shared" si="102"/>
        <v>Contract Performance &amp; Payment Bond</v>
      </c>
    </row>
    <row r="236" spans="1:44" ht="12.75">
      <c r="A236" s="3" t="str">
        <f>LOOKUP(A219,Reference!$A$2:$X$2,Reference!A$19:O$19)</f>
        <v>Widen Instructions</v>
      </c>
      <c r="B236" s="3"/>
      <c r="C236" s="4" t="s">
        <v>177</v>
      </c>
      <c r="D236" t="str">
        <f>LOOKUP(C219,Reference!$A$2:$X$2,Reference!A$19:X$19)</f>
        <v>I.E. ' Each Side, West Side</v>
      </c>
      <c r="H236" s="7"/>
      <c r="I236" s="11"/>
      <c r="J236" s="9"/>
      <c r="K236" s="16" t="s">
        <v>89</v>
      </c>
      <c r="L236">
        <f>IF(C230&gt;0.1,0.05,0)</f>
        <v>0</v>
      </c>
      <c r="M236">
        <f>IF(NOT(C237=424),MROUND(L236*L229/9,5),0)</f>
        <v>0</v>
      </c>
      <c r="N236" s="7"/>
      <c r="O236" s="11"/>
      <c r="P236" s="9"/>
      <c r="R236" s="11"/>
      <c r="S236" s="9"/>
      <c r="T236">
        <f t="shared" si="103"/>
        <v>10.00001</v>
      </c>
      <c r="U236">
        <f t="shared" si="104"/>
        <v>10</v>
      </c>
      <c r="V236" s="22">
        <f>LOOKUP(A219,Reference!$A$2:$X$2,Reference!$A$41:$X$41)</f>
        <v>0</v>
      </c>
      <c r="W236" s="22"/>
      <c r="X236" s="22">
        <f>LOOKUP(B219,Reference!$A$2:$X$2,Reference!$A$41:$X$41)</f>
        <v>0</v>
      </c>
      <c r="Y236" s="22">
        <f>LOOKUP(C219,Reference!$A$2:$X$2,Reference!$A$41:$X$41)</f>
        <v>0</v>
      </c>
      <c r="Z236" s="22"/>
      <c r="AA236" s="22">
        <f>LOOKUP(D219,Reference!$A$2:$X$2,Reference!$A$41:$X$41)</f>
        <v>0</v>
      </c>
      <c r="AB236" s="22"/>
      <c r="AC236" s="22"/>
      <c r="AD236" s="22"/>
      <c r="AE236" s="1">
        <f t="shared" si="92"/>
      </c>
      <c r="AF236" s="1">
        <f t="shared" si="93"/>
      </c>
      <c r="AG236" s="1">
        <f t="shared" si="94"/>
      </c>
      <c r="AH236" s="1">
        <f t="shared" si="95"/>
      </c>
      <c r="AI236" s="1">
        <f t="shared" si="96"/>
      </c>
      <c r="AJ236" s="1">
        <f t="shared" si="97"/>
      </c>
      <c r="AK236" s="1">
        <f t="shared" si="98"/>
      </c>
      <c r="AL236" s="1">
        <f t="shared" si="99"/>
      </c>
      <c r="AM236" s="1">
        <f t="shared" si="100"/>
      </c>
      <c r="AN236" s="1"/>
      <c r="AO236" s="27">
        <f>LOOKUP(F219,Reference!A$2:X$2,Reference!$A$41:$X$41)</f>
        <v>0</v>
      </c>
      <c r="AP236" s="30"/>
      <c r="AQ236" s="27">
        <f t="shared" si="101"/>
        <v>0</v>
      </c>
      <c r="AR236" s="1">
        <f t="shared" si="102"/>
      </c>
    </row>
    <row r="237" spans="1:44" ht="12.75">
      <c r="A237" s="3" t="str">
        <f>LOOKUP(A219,Reference!$A$2:$X$2,Reference!A$20:X$20)</f>
        <v>Type of Surface </v>
      </c>
      <c r="B237" s="3"/>
      <c r="C237" s="5">
        <v>823</v>
      </c>
      <c r="D237" t="str">
        <f>LOOKUP(C219,Reference!$A$2:$X$2,Reference!A$20:X$20)</f>
        <v>(424, 823, 448)</v>
      </c>
      <c r="H237" s="7"/>
      <c r="I237" s="11"/>
      <c r="J237" s="9"/>
      <c r="K237" s="16" t="s">
        <v>132</v>
      </c>
      <c r="L237">
        <f>IF(C230&gt;0.1,0.08,0)</f>
        <v>0</v>
      </c>
      <c r="M237">
        <f>IF(C237=424,MROUND(L237*L229/9,5),0)</f>
        <v>0</v>
      </c>
      <c r="N237" s="12"/>
      <c r="O237" s="11"/>
      <c r="P237" s="19"/>
      <c r="Q237" s="12" t="s">
        <v>116</v>
      </c>
      <c r="R237" s="11">
        <f>IF(A219=4,C228,0)</f>
        <v>0</v>
      </c>
      <c r="S237" s="9"/>
      <c r="T237">
        <f t="shared" si="103"/>
        <v>10.00002</v>
      </c>
      <c r="U237">
        <f t="shared" si="104"/>
        <v>10</v>
      </c>
      <c r="V237" s="22">
        <f>LOOKUP(A219,Reference!$A$2:$X$2,Reference!$A$42:$X$42)</f>
        <v>0</v>
      </c>
      <c r="W237" s="22"/>
      <c r="X237" s="22">
        <f>LOOKUP(B219,Reference!$A$2:$X$2,Reference!$A$42:$X$42)</f>
        <v>0</v>
      </c>
      <c r="Y237" s="22">
        <f>LOOKUP(C219,Reference!$A$2:$X$2,Reference!$A$42:$X$42)</f>
        <v>0</v>
      </c>
      <c r="Z237" s="22"/>
      <c r="AA237" s="22">
        <f>LOOKUP(D219,Reference!$A$2:$X$2,Reference!$A$42:$X$42)</f>
        <v>0</v>
      </c>
      <c r="AB237" s="22"/>
      <c r="AC237" s="22"/>
      <c r="AD237" s="22"/>
      <c r="AE237" s="1">
        <f t="shared" si="92"/>
      </c>
      <c r="AF237" s="1">
        <f t="shared" si="93"/>
      </c>
      <c r="AG237" s="1">
        <f t="shared" si="94"/>
      </c>
      <c r="AH237" s="1">
        <f t="shared" si="95"/>
      </c>
      <c r="AI237" s="1">
        <f t="shared" si="96"/>
      </c>
      <c r="AJ237" s="1">
        <f t="shared" si="97"/>
      </c>
      <c r="AK237" s="1">
        <f t="shared" si="98"/>
      </c>
      <c r="AL237" s="1">
        <f t="shared" si="99"/>
      </c>
      <c r="AM237" s="1">
        <f t="shared" si="100"/>
      </c>
      <c r="AN237" s="1"/>
      <c r="AO237" s="27">
        <f>LOOKUP(F219,Reference!A$2:X$2,Reference!$A$42:$X$42)</f>
        <v>0</v>
      </c>
      <c r="AP237" s="30"/>
      <c r="AQ237" s="27">
        <f t="shared" si="101"/>
        <v>0</v>
      </c>
      <c r="AR237" s="1">
        <f t="shared" si="102"/>
      </c>
    </row>
    <row r="238" spans="1:44" ht="12.75">
      <c r="A238" s="3">
        <f>LOOKUP(A219,Reference!$A$2:$X$2,Reference!A$21:X$21)</f>
        <v>0</v>
      </c>
      <c r="B238" s="3"/>
      <c r="C238" s="5"/>
      <c r="D238">
        <f>LOOKUP(C219,Reference!$A$2:$X$2,Reference!A$21:X$21)</f>
        <v>0</v>
      </c>
      <c r="H238" s="7"/>
      <c r="I238" s="11"/>
      <c r="J238" s="9"/>
      <c r="K238" s="16" t="s">
        <v>101</v>
      </c>
      <c r="L238">
        <f>MROUND(L232/9,5)</f>
        <v>2400</v>
      </c>
      <c r="N238" s="7"/>
      <c r="O238" s="11"/>
      <c r="P238" s="9"/>
      <c r="Q238" s="12" t="s">
        <v>117</v>
      </c>
      <c r="R238" s="11">
        <f>IF(A219=4,C227,0)</f>
        <v>0</v>
      </c>
      <c r="S238" s="9"/>
      <c r="V238" s="3" t="s">
        <v>98</v>
      </c>
      <c r="W238">
        <f>MROUND(SUM(R228,O228,L229,I228)/9,5)</f>
        <v>9705</v>
      </c>
      <c r="AO238" s="26"/>
      <c r="AP238" s="26"/>
      <c r="AQ238" s="26"/>
      <c r="AR238" s="1">
        <f>CONCATENATE(AH238,AI238,AJ238,AK238,,AM238,AN238)</f>
      </c>
    </row>
    <row r="239" spans="1:28" ht="12.75">
      <c r="A239" s="3">
        <f>LOOKUP(A219,Reference!$A$2:$X$2,Reference!C$22:X$22)</f>
        <v>0</v>
      </c>
      <c r="B239" s="3"/>
      <c r="C239" s="5"/>
      <c r="D239">
        <f>LOOKUP(C219,Reference!$A$2:$X$2,Reference!C$22:X$22)</f>
        <v>0</v>
      </c>
      <c r="H239" s="7"/>
      <c r="I239" s="11"/>
      <c r="J239" s="9"/>
      <c r="K239" s="12" t="s">
        <v>116</v>
      </c>
      <c r="L239">
        <f>IF(A219=2,C229,0)</f>
        <v>5400</v>
      </c>
      <c r="N239" s="7"/>
      <c r="O239" s="11"/>
      <c r="P239" s="9"/>
      <c r="R239" s="11"/>
      <c r="S239" s="9"/>
      <c r="V239" s="3" t="s">
        <v>118</v>
      </c>
      <c r="W239">
        <f>R237+O234+L239+I234</f>
        <v>5400</v>
      </c>
      <c r="X239" s="3" t="s">
        <v>121</v>
      </c>
      <c r="Y239">
        <f>MROUND(W239/5280,0.01)</f>
        <v>1.02</v>
      </c>
      <c r="Z239" s="3" t="s">
        <v>120</v>
      </c>
      <c r="AB239" t="str">
        <f>CONCATENATE(V239,W239,X239,Y239,Z239)</f>
        <v>Length:  5400 Feet or 1.02 Mile(s)</v>
      </c>
    </row>
    <row r="240" spans="1:28" ht="12.75">
      <c r="A240" s="3">
        <f>LOOKUP(A219,Reference!$A$2:$X$2,Reference!A$23:X$23)</f>
        <v>0</v>
      </c>
      <c r="B240" s="3"/>
      <c r="C240" s="5"/>
      <c r="D240">
        <f>LOOKUP(C219,Reference!$A$2:$X$2,Reference!A$23:X$23)</f>
        <v>0</v>
      </c>
      <c r="H240" s="7"/>
      <c r="I240" s="11"/>
      <c r="J240" s="9"/>
      <c r="K240" s="12" t="s">
        <v>117</v>
      </c>
      <c r="L240">
        <f>IF(A219=2,C228,0)</f>
        <v>16</v>
      </c>
      <c r="N240" s="7"/>
      <c r="O240" s="11"/>
      <c r="P240" s="9"/>
      <c r="R240" s="11"/>
      <c r="S240" s="19"/>
      <c r="V240" s="3" t="s">
        <v>119</v>
      </c>
      <c r="W240">
        <f>R238+O235+L240+I235</f>
        <v>16</v>
      </c>
      <c r="X240" s="3" t="s">
        <v>122</v>
      </c>
      <c r="Y240" s="3" t="s">
        <v>123</v>
      </c>
      <c r="Z240" s="25">
        <f>W238</f>
        <v>9705</v>
      </c>
      <c r="AA240" s="3" t="s">
        <v>124</v>
      </c>
      <c r="AB240" t="str">
        <f>CONCATENATE(V240,W240,X240,Y240,Z240,AA240)</f>
        <v>Width:  16 Feet     (Approx. 9705 S.Y. including radius and driveway work)</v>
      </c>
    </row>
    <row r="241" spans="1:28" ht="12.75">
      <c r="A241" s="3">
        <f>LOOKUP(A219,Reference!$A$2:$X$2,Reference!A$24:X$24)</f>
        <v>0</v>
      </c>
      <c r="B241" s="3"/>
      <c r="C241" s="5"/>
      <c r="D241">
        <f>LOOKUP(C219,Reference!$A$2:$X$2,Reference!A$24:X$24)</f>
        <v>0</v>
      </c>
      <c r="H241" s="7">
        <f>IF(AND(A219=1,C231=424),"Type: ODOT Spec 424 Smooth Seal ","")</f>
      </c>
      <c r="I241" s="11">
        <f>IF(AND(A219=1,NOT(C231=424)),"Type: ODOT Spec 823 ","")</f>
      </c>
      <c r="J241" s="9"/>
      <c r="K241" s="18" t="str">
        <f>IF(A219=2,"Type: ODOT Spec 823, with Spec 301 Widening ","")</f>
        <v>Type: ODOT Spec 823, with Spec 301 Widening </v>
      </c>
      <c r="N241" s="7">
        <f>IF(A219=3,"Type: Chip Seal, 1997 ODOT Spec 409 ","")</f>
      </c>
      <c r="O241" s="11">
        <f>IF(O232&gt;0,"W/ Fog Seal","")</f>
      </c>
      <c r="P241" s="9"/>
      <c r="Q241">
        <f>IF(A219=4,"Type: Double Chip Seal, 1997 ODOT Spec 409 ","")</f>
      </c>
      <c r="R241" s="11">
        <f>IF(R235&gt;0,"W/ Fog Seal","")</f>
      </c>
      <c r="S241" s="9"/>
      <c r="V241" s="3">
        <f>IF(C224&gt;0,"W/ 617 Berm @ ","")</f>
      </c>
      <c r="W241" s="29">
        <f>IF(C224&gt;0,C224/12,"")</f>
      </c>
      <c r="X241" s="3">
        <f>IF(C224&gt;0," Feet Wide Each Side","")</f>
      </c>
      <c r="AB241" t="str">
        <f>CONCATENATE(H241,I241,J241,K241,L241,M241,N241,O241,P241,Q241,R241,S241,T241,U241,V241,W241,X241)</f>
        <v>Type: ODOT Spec 823, with Spec 301 Widening </v>
      </c>
    </row>
    <row r="249" spans="1:19" ht="12.75">
      <c r="A249" s="2" t="s">
        <v>140</v>
      </c>
      <c r="B249" s="3"/>
      <c r="C249" s="3" t="str">
        <f>"1 = Paving    2 = Paving-Widening     3= Chip Seal   4=Double Chip Seal"</f>
        <v>1 = Paving    2 = Paving-Widening     3= Chip Seal   4=Double Chip Seal</v>
      </c>
      <c r="I249">
        <f>I218</f>
        <v>1</v>
      </c>
      <c r="J249">
        <f>J218</f>
        <v>1.5</v>
      </c>
      <c r="L249">
        <f>L218</f>
        <v>2</v>
      </c>
      <c r="M249">
        <f>M218</f>
        <v>2.5</v>
      </c>
      <c r="O249">
        <f>O218</f>
        <v>3</v>
      </c>
      <c r="P249">
        <f>P218</f>
        <v>3.5</v>
      </c>
      <c r="R249">
        <f>R218</f>
        <v>4</v>
      </c>
      <c r="S249">
        <f>S218</f>
        <v>4.5</v>
      </c>
    </row>
    <row r="250" spans="1:19" ht="12.75">
      <c r="A250" s="6">
        <v>1</v>
      </c>
      <c r="B250" s="20">
        <f>A250+0.2</f>
        <v>1.2</v>
      </c>
      <c r="C250">
        <f>A250+0.5</f>
        <v>1.5</v>
      </c>
      <c r="D250">
        <f>A250+0.7</f>
        <v>1.7</v>
      </c>
      <c r="E250">
        <f>A250+0.8</f>
        <v>1.8</v>
      </c>
      <c r="F250">
        <f>A250+0.9</f>
        <v>1.9</v>
      </c>
      <c r="H250" s="7"/>
      <c r="I250" s="8" t="s">
        <v>37</v>
      </c>
      <c r="J250" s="9"/>
      <c r="K250" s="11"/>
      <c r="L250" t="s">
        <v>38</v>
      </c>
      <c r="N250" s="7"/>
      <c r="O250" s="8" t="s">
        <v>31</v>
      </c>
      <c r="P250" s="9"/>
      <c r="Q250" s="7"/>
      <c r="R250" s="8" t="s">
        <v>39</v>
      </c>
      <c r="S250" s="9"/>
    </row>
    <row r="251" spans="1:43" ht="12.75">
      <c r="A251" s="2" t="str">
        <f>LOOKUP(A250,Reference!$A$2:$S$2,Reference!A$3:S$3)</f>
        <v>Paving</v>
      </c>
      <c r="B251" s="2"/>
      <c r="H251" s="7"/>
      <c r="I251" s="10" t="s">
        <v>28</v>
      </c>
      <c r="J251" s="9"/>
      <c r="K251" s="11"/>
      <c r="L251" s="10" t="s">
        <v>28</v>
      </c>
      <c r="M251" s="11"/>
      <c r="N251" s="7"/>
      <c r="O251" s="10" t="s">
        <v>28</v>
      </c>
      <c r="P251" s="9"/>
      <c r="Q251" s="7"/>
      <c r="R251" s="10" t="s">
        <v>28</v>
      </c>
      <c r="S251" s="9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4" ht="12.75">
      <c r="A252" s="3" t="str">
        <f>LOOKUP(A250,Reference!$A$2:$X$2,Reference!A$4:X$4)</f>
        <v>Name</v>
      </c>
      <c r="B252" s="3"/>
      <c r="C252" s="4"/>
      <c r="D252" t="str">
        <f>"1st Length"</f>
        <v>1st Length</v>
      </c>
      <c r="E252" t="str">
        <f>"2nd Length"</f>
        <v>2nd Length</v>
      </c>
      <c r="F252" t="str">
        <f>"3rd Length"</f>
        <v>3rd Length</v>
      </c>
      <c r="G252" t="str">
        <f>"4th Length"</f>
        <v>4th Length</v>
      </c>
      <c r="H252" s="7"/>
      <c r="I252" s="11" t="s">
        <v>26</v>
      </c>
      <c r="J252" s="9" t="s">
        <v>50</v>
      </c>
      <c r="K252" s="11"/>
      <c r="L252" s="11" t="s">
        <v>26</v>
      </c>
      <c r="M252" s="8" t="s">
        <v>68</v>
      </c>
      <c r="N252" s="7"/>
      <c r="O252" s="11" t="s">
        <v>26</v>
      </c>
      <c r="P252" s="19" t="s">
        <v>67</v>
      </c>
      <c r="Q252" s="7"/>
      <c r="R252" s="11" t="s">
        <v>26</v>
      </c>
      <c r="S252" s="19" t="s">
        <v>67</v>
      </c>
      <c r="V252" s="23" t="s">
        <v>2</v>
      </c>
      <c r="W252" s="24" t="s">
        <v>86</v>
      </c>
      <c r="X252" s="24" t="s">
        <v>3</v>
      </c>
      <c r="Y252" s="24" t="s">
        <v>4</v>
      </c>
      <c r="Z252" s="21"/>
      <c r="AA252" s="22"/>
      <c r="AB252" s="22"/>
      <c r="AC252" s="22"/>
      <c r="AD252" s="2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27" t="s">
        <v>126</v>
      </c>
      <c r="AP252" s="27" t="s">
        <v>127</v>
      </c>
      <c r="AQ252" s="27" t="s">
        <v>128</v>
      </c>
      <c r="AR252" s="27" t="s">
        <v>4</v>
      </c>
    </row>
    <row r="253" spans="1:44" ht="12.75">
      <c r="A253" s="3" t="str">
        <f>LOOKUP(A250,Reference!$A$2:$X$2,Reference!A$5:X$5)</f>
        <v>Radii</v>
      </c>
      <c r="B253" s="3"/>
      <c r="C253" s="5">
        <v>0</v>
      </c>
      <c r="D253" t="str">
        <f>LOOKUP(C250,Reference!$A$2:$X$2,Reference!A$5:X$5)</f>
        <v>@ 10 SY Each</v>
      </c>
      <c r="H253" s="12" t="s">
        <v>47</v>
      </c>
      <c r="I253" s="11">
        <f>IF(A250=1,10*C253*9,0)</f>
        <v>0</v>
      </c>
      <c r="J253" s="9"/>
      <c r="K253" s="12" t="s">
        <v>47</v>
      </c>
      <c r="L253">
        <f>IF(A250=2,10*C253*9,0)</f>
        <v>0</v>
      </c>
      <c r="N253" s="12" t="s">
        <v>47</v>
      </c>
      <c r="O253" s="11">
        <f>IF(A250=3,10*C253*9,0)</f>
        <v>0</v>
      </c>
      <c r="P253" s="9"/>
      <c r="Q253" s="12" t="s">
        <v>47</v>
      </c>
      <c r="R253" s="11">
        <f>IF(A250=4,10*C253*9,0)</f>
        <v>0</v>
      </c>
      <c r="S253" s="9"/>
      <c r="T253">
        <f>IF(W253&gt;0,1,0)</f>
        <v>0</v>
      </c>
      <c r="U253">
        <f>T253</f>
        <v>0</v>
      </c>
      <c r="V253" s="22">
        <f>LOOKUP(A250,Reference!$A$2:$X$2,Reference!$A$27:$X$27)</f>
        <v>407</v>
      </c>
      <c r="W253" s="22">
        <f>IF(A250=1,J262+J263,0)+IF(A250=2,L265,0)+IF(A250=3,P261,0)+IF(A250=4,S261,0)</f>
        <v>0</v>
      </c>
      <c r="X253" s="22" t="str">
        <f>LOOKUP(B250,Reference!$A$2:$X$2,Reference!$A$27:$X$27)</f>
        <v>Gal</v>
      </c>
      <c r="Y253" s="22" t="str">
        <f>LOOKUP(C250,Reference!$A$2:$X$2,Reference!$A$27:X$27)</f>
        <v>Bituminous Tack Coat applied at 0.05 gallons per square yard</v>
      </c>
      <c r="Z253" s="22">
        <f>IF(A250=3,O261,0)+IF(A250=4,R261,0)</f>
        <v>0</v>
      </c>
      <c r="AA253" s="22">
        <f>LOOKUP(D250,Reference!$A$2:$X$2,Reference!$A$27:$X$27)</f>
        <v>0</v>
      </c>
      <c r="AB253" s="22"/>
      <c r="AC253" s="22"/>
      <c r="AD253" s="22"/>
      <c r="AE253" s="1">
        <f aca="true" t="shared" si="105" ref="AE253:AE268">IF(V253=0,"",V253)</f>
        <v>407</v>
      </c>
      <c r="AF253" s="1">
        <f aca="true" t="shared" si="106" ref="AF253:AF268">IF(W253=0,"",W253)</f>
      </c>
      <c r="AG253" s="1" t="str">
        <f aca="true" t="shared" si="107" ref="AG253:AG268">IF(X253=0,"",X253)</f>
        <v>Gal</v>
      </c>
      <c r="AH253" s="1" t="str">
        <f aca="true" t="shared" si="108" ref="AH253:AH268">IF(Y253=0,"",Y253)</f>
        <v>Bituminous Tack Coat applied at 0.05 gallons per square yard</v>
      </c>
      <c r="AI253" s="1">
        <f aca="true" t="shared" si="109" ref="AI253:AI268">IF(Z253=0,"",Z253)</f>
      </c>
      <c r="AJ253" s="1">
        <f aca="true" t="shared" si="110" ref="AJ253:AJ268">IF(AA253=0,"",AA253)</f>
      </c>
      <c r="AK253" s="1">
        <f aca="true" t="shared" si="111" ref="AK253:AK268">IF(AB253=0,"",AB253)</f>
      </c>
      <c r="AL253" s="1">
        <f aca="true" t="shared" si="112" ref="AL253:AL268">IF(AC253=0,"",AC253)</f>
      </c>
      <c r="AM253" s="1">
        <f aca="true" t="shared" si="113" ref="AM253:AM268">IF(AD253=0,"",AD253)</f>
      </c>
      <c r="AN253" s="1"/>
      <c r="AO253" s="27">
        <f>LOOKUP(F250,Reference!A$2:X$2,Reference!$A$27:$X$27)</f>
        <v>2.1</v>
      </c>
      <c r="AP253" s="30"/>
      <c r="AQ253" s="27">
        <f aca="true" t="shared" si="114" ref="AQ253:AQ268">IF(AP253&gt;0,AP253,AO253)</f>
        <v>2.1</v>
      </c>
      <c r="AR253" s="1" t="str">
        <f aca="true" t="shared" si="115" ref="AR253:AR268">CONCATENATE(AH253,AI253,AJ253,AK253,AL253,AM253,AN253)</f>
        <v>Bituminous Tack Coat applied at 0.05 gallons per square yard</v>
      </c>
    </row>
    <row r="254" spans="1:44" ht="12.75">
      <c r="A254" s="3" t="str">
        <f>LOOKUP(A250,Reference!$A$2:$X$2,Reference!A$6:X$6)</f>
        <v>Drives</v>
      </c>
      <c r="B254" s="3"/>
      <c r="C254" s="5">
        <v>0</v>
      </c>
      <c r="D254" t="str">
        <f>LOOKUP(C250,Reference!$A$2:$X$2,Reference!A$6:X$6)</f>
        <v>@ 4 SY Each</v>
      </c>
      <c r="H254" s="12" t="s">
        <v>17</v>
      </c>
      <c r="I254" s="11">
        <f>IF(A250=1,4*C254*9,0)</f>
        <v>0</v>
      </c>
      <c r="J254" s="9"/>
      <c r="K254" s="12" t="s">
        <v>17</v>
      </c>
      <c r="L254">
        <f>IF(A250=2,4*C254*9,0)</f>
        <v>0</v>
      </c>
      <c r="N254" s="12" t="s">
        <v>17</v>
      </c>
      <c r="O254" s="11">
        <f>IF(A250=3,4*C254*9,0)</f>
        <v>0</v>
      </c>
      <c r="P254" s="9"/>
      <c r="Q254" s="12" t="s">
        <v>17</v>
      </c>
      <c r="R254" s="11">
        <f>IF(A250=4,4*C254*9,0)</f>
        <v>0</v>
      </c>
      <c r="S254" s="9"/>
      <c r="T254">
        <f aca="true" t="shared" si="116" ref="T254:T268">IF(W254&gt;0,U253+1,T253+0.00001)</f>
        <v>1E-05</v>
      </c>
      <c r="U254">
        <f aca="true" t="shared" si="117" ref="U254:U268">IF(T254&gt;U253+0.5,U253+1,U253)</f>
        <v>0</v>
      </c>
      <c r="V254" s="22">
        <f>LOOKUP(A250,Reference!$A$2:$X$2,Reference!$A$28:$X$28)</f>
        <v>823</v>
      </c>
      <c r="W254" s="22">
        <f>IF(A250=1,J260,0)+IF(A250=2,M263,0)+IF(A250=3,P260,0)+IF(A250=4,S263,0)</f>
        <v>0</v>
      </c>
      <c r="X254" s="22" t="str">
        <f>LOOKUP(B250,Reference!$A$2:$X$2,Reference!$A$28:$X$28)</f>
        <v>C.Y.</v>
      </c>
      <c r="Y254" s="22" t="str">
        <f>LOOKUP(C250,Reference!$A$2:$X$2,Reference!$A$28:$X$28)</f>
        <v>Asphalt intermediate course PG 64-22, Type 1 (823) applied, spread and compacted at the average depth of </v>
      </c>
      <c r="Z254" s="22">
        <f>IF(A250=1,C260,0)+IF(A250=2,C263,0)+IF(A250=3,O262,0)+IF(A250=4,R262,0)</f>
        <v>0</v>
      </c>
      <c r="AA254" s="22" t="str">
        <f>LOOKUP(D250,Reference!$A$2:$X$2,Reference!$A$28:$X$28)</f>
        <v> inches</v>
      </c>
      <c r="AB254" s="22">
        <f>IF(A250=3,O260,0)+IF(A250=4,R260,0)</f>
        <v>0</v>
      </c>
      <c r="AC254" s="22">
        <f>IF(A250=2,C267,0)</f>
        <v>0</v>
      </c>
      <c r="AD254" s="22">
        <f>LOOKUP(E250,Reference!$A$2:$X$2,Reference!$A$28:$X$28)</f>
        <v>0</v>
      </c>
      <c r="AE254" s="1">
        <f t="shared" si="105"/>
        <v>823</v>
      </c>
      <c r="AF254" s="1">
        <f t="shared" si="106"/>
      </c>
      <c r="AG254" s="1" t="str">
        <f t="shared" si="107"/>
        <v>C.Y.</v>
      </c>
      <c r="AH254" s="1" t="str">
        <f t="shared" si="108"/>
        <v>Asphalt intermediate course PG 64-22, Type 1 (823) applied, spread and compacted at the average depth of </v>
      </c>
      <c r="AI254" s="1">
        <f t="shared" si="109"/>
      </c>
      <c r="AJ254" s="1" t="str">
        <f t="shared" si="110"/>
        <v> inches</v>
      </c>
      <c r="AK254" s="1">
        <f t="shared" si="111"/>
      </c>
      <c r="AL254" s="1">
        <f t="shared" si="112"/>
      </c>
      <c r="AM254" s="1">
        <f t="shared" si="113"/>
      </c>
      <c r="AN254" s="1"/>
      <c r="AO254" s="27">
        <f>LOOKUP(F250,Reference!A$2:X$2,Reference!$A$28:$X$28)</f>
        <v>150</v>
      </c>
      <c r="AP254" s="30"/>
      <c r="AQ254" s="27">
        <f t="shared" si="114"/>
        <v>150</v>
      </c>
      <c r="AR254" s="1" t="str">
        <f t="shared" si="115"/>
        <v>Asphalt intermediate course PG 64-22, Type 1 (823) applied, spread and compacted at the average depth of  inches</v>
      </c>
    </row>
    <row r="255" spans="1:44" ht="12.75">
      <c r="A255" s="3" t="str">
        <f>LOOKUP(A250,Reference!$A$2:$X$2,Reference!A$7:X$7)</f>
        <v>Berm (Per Side)</v>
      </c>
      <c r="B255" s="3"/>
      <c r="C255" s="5">
        <v>0</v>
      </c>
      <c r="D255" t="str">
        <f>LOOKUP(C250,Reference!$A$2:$X$2,Reference!A$7:X$7)</f>
        <v>inches</v>
      </c>
      <c r="H255" s="12" t="s">
        <v>18</v>
      </c>
      <c r="I255" s="11">
        <f>IF(A250=1,C255*2*C259/12,0)</f>
        <v>0</v>
      </c>
      <c r="J255" s="9">
        <f>MROUND(I255*C256/12*1/27+0.4,1)</f>
        <v>0</v>
      </c>
      <c r="K255" s="12" t="s">
        <v>18</v>
      </c>
      <c r="L255">
        <f>IF(A250=2,C255*2*C260/12,0)</f>
        <v>0</v>
      </c>
      <c r="M255">
        <f>MROUND(L255*C256/12*1/27+0.4,1)</f>
        <v>0</v>
      </c>
      <c r="N255" s="12" t="s">
        <v>18</v>
      </c>
      <c r="O255" s="11">
        <f>IF(A250=3,C255*2*C259/12,0)</f>
        <v>0</v>
      </c>
      <c r="P255" s="9">
        <f>MROUND(O255*C256/12*1/27+0.4,1)</f>
        <v>0</v>
      </c>
      <c r="Q255" s="12" t="s">
        <v>18</v>
      </c>
      <c r="R255" s="11">
        <f>IF(A250=4,C255*2*C259/12,0)</f>
        <v>0</v>
      </c>
      <c r="S255" s="9">
        <f>MROUND(R255*C256/12*1/27+0.4,1)</f>
        <v>0</v>
      </c>
      <c r="T255">
        <f t="shared" si="116"/>
        <v>2E-05</v>
      </c>
      <c r="U255">
        <f t="shared" si="117"/>
        <v>0</v>
      </c>
      <c r="V255" s="22">
        <f>LOOKUP(A250,Reference!$A$2:$X$2,Reference!$A$29:$X$29)</f>
        <v>823</v>
      </c>
      <c r="W255" s="22">
        <f>IF(AND(A250=1,NOT(C262=424)),J261,0)+IF(A250=2,L269,0)+IF(A250=3,P263,0)+IF(A250=4,S264,0)</f>
        <v>0</v>
      </c>
      <c r="X255" s="22" t="str">
        <f>LOOKUP(B250,Reference!$A$2:$X$2,Reference!$A$29:$X$29)</f>
        <v>C.Y.</v>
      </c>
      <c r="Y255" s="22" t="str">
        <f>LOOKUP(C250,Reference!$A$2:$X$2,Reference!$A$29:$X$29)</f>
        <v>Asphalt concrete surface course PG 64-22, Type 1 (823) applied, spread and compacted at the average depth of </v>
      </c>
      <c r="Z255" s="22">
        <f>IF(AND(A250=1,NOT(C262=424)),C261,0)+IF(A250=4,R264,0)</f>
        <v>0</v>
      </c>
      <c r="AA255" s="22" t="str">
        <f>LOOKUP(D250,Reference!$A$2:$X$2,Reference!$A$29:$X$29)</f>
        <v> inches</v>
      </c>
      <c r="AB255" s="22"/>
      <c r="AC255" s="22"/>
      <c r="AD255" s="22"/>
      <c r="AE255" s="1">
        <f t="shared" si="105"/>
        <v>823</v>
      </c>
      <c r="AF255" s="1">
        <f t="shared" si="106"/>
      </c>
      <c r="AG255" s="1" t="str">
        <f t="shared" si="107"/>
        <v>C.Y.</v>
      </c>
      <c r="AH255" s="1" t="str">
        <f t="shared" si="108"/>
        <v>Asphalt concrete surface course PG 64-22, Type 1 (823) applied, spread and compacted at the average depth of </v>
      </c>
      <c r="AI255" s="1">
        <f t="shared" si="109"/>
      </c>
      <c r="AJ255" s="1" t="str">
        <f t="shared" si="110"/>
        <v> inches</v>
      </c>
      <c r="AK255" s="1">
        <f t="shared" si="111"/>
      </c>
      <c r="AL255" s="1">
        <f t="shared" si="112"/>
      </c>
      <c r="AM255" s="1">
        <f t="shared" si="113"/>
      </c>
      <c r="AN255" s="1"/>
      <c r="AO255" s="27">
        <f>LOOKUP(F250,Reference!A$2:X$2,Reference!$A$29:$X$29)</f>
        <v>150</v>
      </c>
      <c r="AP255" s="30"/>
      <c r="AQ255" s="27">
        <f t="shared" si="114"/>
        <v>150</v>
      </c>
      <c r="AR255" s="1" t="str">
        <f t="shared" si="115"/>
        <v>Asphalt concrete surface course PG 64-22, Type 1 (823) applied, spread and compacted at the average depth of  inches</v>
      </c>
    </row>
    <row r="256" spans="1:44" ht="12.75">
      <c r="A256" s="3" t="str">
        <f>LOOKUP(A250,Reference!$A$2:$X$2,Reference!A$8:X$8)</f>
        <v>Berm Depth</v>
      </c>
      <c r="B256" s="3"/>
      <c r="C256" s="5">
        <v>0</v>
      </c>
      <c r="D256" t="str">
        <f>LOOKUP(C250,Reference!$A$2:$X$2,Reference!A$8:X$8)</f>
        <v>inches</v>
      </c>
      <c r="H256" s="12"/>
      <c r="I256" s="11"/>
      <c r="J256" s="9"/>
      <c r="K256" s="11"/>
      <c r="N256" s="7"/>
      <c r="O256" s="11"/>
      <c r="P256" s="9"/>
      <c r="R256" s="11"/>
      <c r="S256" s="9"/>
      <c r="T256">
        <f t="shared" si="116"/>
        <v>3.0000000000000004E-05</v>
      </c>
      <c r="U256">
        <f t="shared" si="117"/>
        <v>0</v>
      </c>
      <c r="V256" s="22">
        <f>LOOKUP(A250,Reference!$A$2:$X$2,Reference!$A$30:$X$30)</f>
        <v>407</v>
      </c>
      <c r="W256" s="22">
        <f>+IF(A250=2,M263,0)+IF(A250=3,P255,0)+IF(A250=4,S263,0)+IF(A250=1,J264,0)</f>
        <v>0</v>
      </c>
      <c r="X256" s="22" t="str">
        <f>LOOKUP(B250,Reference!$A$2:$X$2,Reference!$A$30:$X$30)</f>
        <v>Gal</v>
      </c>
      <c r="Y256" s="22" t="str">
        <f>LOOKUP(C250,Reference!$A$2:$X$2,Reference!$A$30:$X$30)</f>
        <v>Rubberized Latex Tack Coat (0.08 Gal./S.Y.)</v>
      </c>
      <c r="Z256" s="22">
        <f>IF(A250=2,C264,0)+IF(A250=3,C256,0)+IF(A250=4,R265,0)</f>
        <v>0</v>
      </c>
      <c r="AA256" s="22">
        <f>LOOKUP(D250,Reference!$A$2:$X$2,Reference!$A$30:$X$30)</f>
        <v>0</v>
      </c>
      <c r="AB256" s="22">
        <f>IF(A250=4,R263,0)</f>
        <v>0</v>
      </c>
      <c r="AC256" s="22"/>
      <c r="AD256" s="22">
        <f>LOOKUP(E250,Reference!$A$2:$X$2,Reference!$A$30:$X$30)</f>
        <v>0</v>
      </c>
      <c r="AE256" s="1">
        <f t="shared" si="105"/>
        <v>407</v>
      </c>
      <c r="AF256" s="1">
        <f t="shared" si="106"/>
      </c>
      <c r="AG256" s="1" t="str">
        <f t="shared" si="107"/>
        <v>Gal</v>
      </c>
      <c r="AH256" s="1" t="str">
        <f t="shared" si="108"/>
        <v>Rubberized Latex Tack Coat (0.08 Gal./S.Y.)</v>
      </c>
      <c r="AI256" s="1">
        <f t="shared" si="109"/>
      </c>
      <c r="AJ256" s="1">
        <f t="shared" si="110"/>
      </c>
      <c r="AK256" s="1">
        <f t="shared" si="111"/>
      </c>
      <c r="AL256" s="1">
        <f t="shared" si="112"/>
      </c>
      <c r="AM256" s="1">
        <f t="shared" si="113"/>
      </c>
      <c r="AN256" s="1"/>
      <c r="AO256" s="27">
        <f>LOOKUP(F250,Reference!A$2:X$2,Reference!$A$30:$X$30)</f>
        <v>3.5</v>
      </c>
      <c r="AP256" s="30"/>
      <c r="AQ256" s="27">
        <f t="shared" si="114"/>
        <v>3.5</v>
      </c>
      <c r="AR256" s="1" t="str">
        <f t="shared" si="115"/>
        <v>Rubberized Latex Tack Coat (0.08 Gal./S.Y.)</v>
      </c>
    </row>
    <row r="257" spans="1:44" ht="12.75">
      <c r="A257" s="3" t="str">
        <f>LOOKUP(A250,Reference!$A$2:$X$2,Reference!A$9:X$9)</f>
        <v>Pavement Planing</v>
      </c>
      <c r="B257" s="3"/>
      <c r="C257" s="5">
        <v>0</v>
      </c>
      <c r="D257" s="5"/>
      <c r="E257" s="5"/>
      <c r="F257" s="5"/>
      <c r="G257" s="5"/>
      <c r="H257" s="7" t="s">
        <v>52</v>
      </c>
      <c r="I257" s="11">
        <f>IF(A250=1,C257,0)</f>
        <v>0</v>
      </c>
      <c r="J257" s="9">
        <f>IF(A250=1,SUM(D257:G257),0)</f>
        <v>0</v>
      </c>
      <c r="K257" s="7" t="s">
        <v>52</v>
      </c>
      <c r="L257" s="11">
        <f>IF(A250=2,C257,0)</f>
        <v>0</v>
      </c>
      <c r="M257" s="11">
        <f>IF(A250=2,SUM(D257:G257),0)</f>
        <v>0</v>
      </c>
      <c r="N257" s="7"/>
      <c r="O257" s="11"/>
      <c r="P257" s="9"/>
      <c r="R257" s="11"/>
      <c r="S257" s="9"/>
      <c r="T257">
        <f t="shared" si="116"/>
        <v>4E-05</v>
      </c>
      <c r="U257">
        <f t="shared" si="117"/>
        <v>0</v>
      </c>
      <c r="V257" s="22">
        <f>LOOKUP(A250,Reference!$A$2:$X$2,Reference!$A$31:$X$31)</f>
        <v>424</v>
      </c>
      <c r="W257" s="22">
        <f>IF(A250=2,M266+M267,0)+IF(AND(C259&gt;0,A250=3),1,0)+IF(A250=4,S266,0)+IF(AND(A250=1,C262=424),J261,0)</f>
        <v>0</v>
      </c>
      <c r="X257" s="22" t="str">
        <f>LOOKUP(B250,Reference!$A$2:$X$2,Reference!$A$31:$X$31)</f>
        <v>C.Y.</v>
      </c>
      <c r="Y257" s="22" t="str">
        <f>LOOKUP(C250,Reference!$A$2:$X$2,Reference!$A$31:$X$31)</f>
        <v>Type B Smooth Seal Asphalt PG76-22, spread and compacted at the average depth of </v>
      </c>
      <c r="Z257" s="28">
        <f>IF(AND(A250=1,C262=424),C261,0)</f>
        <v>0</v>
      </c>
      <c r="AA257" s="22" t="str">
        <f>LOOKUP(D250,Reference!$A$2:$X$2,Reference!$A$31:$X$31)</f>
        <v> inches</v>
      </c>
      <c r="AB257" s="22"/>
      <c r="AC257" s="22"/>
      <c r="AD257" s="22"/>
      <c r="AE257" s="1">
        <f t="shared" si="105"/>
        <v>424</v>
      </c>
      <c r="AF257" s="1">
        <f t="shared" si="106"/>
      </c>
      <c r="AG257" s="1" t="str">
        <f t="shared" si="107"/>
        <v>C.Y.</v>
      </c>
      <c r="AH257" s="1" t="str">
        <f t="shared" si="108"/>
        <v>Type B Smooth Seal Asphalt PG76-22, spread and compacted at the average depth of </v>
      </c>
      <c r="AI257" s="1">
        <f t="shared" si="109"/>
      </c>
      <c r="AJ257" s="1" t="str">
        <f t="shared" si="110"/>
        <v> inches</v>
      </c>
      <c r="AK257" s="1">
        <f t="shared" si="111"/>
      </c>
      <c r="AL257" s="1">
        <f t="shared" si="112"/>
      </c>
      <c r="AM257" s="1">
        <f t="shared" si="113"/>
      </c>
      <c r="AN257" s="1"/>
      <c r="AO257" s="27">
        <f>LOOKUP(F250,Reference!A$2:X$2,Reference!$A$31:$X$31)</f>
        <v>210</v>
      </c>
      <c r="AP257" s="30"/>
      <c r="AQ257" s="27">
        <f t="shared" si="114"/>
        <v>210</v>
      </c>
      <c r="AR257" s="1" t="str">
        <f t="shared" si="115"/>
        <v>Type B Smooth Seal Asphalt PG76-22, spread and compacted at the average depth of  inches</v>
      </c>
    </row>
    <row r="258" spans="1:44" ht="12.75">
      <c r="A258" s="3" t="str">
        <f>LOOKUP(A250,Reference!$A$2:$X$2,Reference!A$10:X$10)</f>
        <v>Pavement Width</v>
      </c>
      <c r="B258" s="3"/>
      <c r="C258" s="5">
        <v>0</v>
      </c>
      <c r="D258" t="str">
        <f>LOOKUP(C250,Reference!$A$2:$X$2,Reference!A$10:X$10)</f>
        <v>feet</v>
      </c>
      <c r="H258" s="12" t="s">
        <v>48</v>
      </c>
      <c r="I258" s="11">
        <f>IF(A250=1,C258*C259,0)</f>
        <v>0</v>
      </c>
      <c r="J258" s="9"/>
      <c r="K258" s="14" t="s">
        <v>53</v>
      </c>
      <c r="L258">
        <f>IF(A250=2,C258,0)</f>
        <v>0</v>
      </c>
      <c r="N258" s="17" t="s">
        <v>48</v>
      </c>
      <c r="O258" s="11">
        <f>IF(A250=3,C258*C259,0)</f>
        <v>0</v>
      </c>
      <c r="P258" s="9"/>
      <c r="Q258" s="17" t="s">
        <v>48</v>
      </c>
      <c r="R258" s="11">
        <f>IF(A250=4,C258*C259,0)</f>
        <v>0</v>
      </c>
      <c r="S258" s="9"/>
      <c r="T258">
        <f t="shared" si="116"/>
        <v>5E-05</v>
      </c>
      <c r="U258">
        <f t="shared" si="117"/>
        <v>0</v>
      </c>
      <c r="V258" s="22">
        <f>LOOKUP(A250,Reference!$A$2:$X$2,Reference!$A$32:$X$32)</f>
        <v>617</v>
      </c>
      <c r="W258" s="22">
        <f>IF(A250=2,M261,0)+IF(AND(C259&gt;0,A250=3),1,0)+IF(A250=4,S255,0)+IF(A250=1,J255,0)</f>
        <v>0</v>
      </c>
      <c r="X258" s="22" t="str">
        <f>LOOKUP(B250,Reference!$A$2:$X$2,Reference!$A$32:$X$32)</f>
        <v>C.Y.</v>
      </c>
      <c r="Y258" s="22" t="str">
        <f>LOOKUP(C250,Reference!$A$2:$X$2,Reference!$A$32:$X$32)</f>
        <v>Stabilized crushed aggregate berm in place and compacted at the average depth of </v>
      </c>
      <c r="Z258" s="22">
        <f>IF(A250=2,C261,0)+IF(A250=4,C256,0)+IF(A250=1,C256,0)</f>
        <v>0</v>
      </c>
      <c r="AA258" s="22" t="str">
        <f>LOOKUP(D250,Reference!$A$2:$X$2,Reference!$A$32:$X$32)</f>
        <v> inches</v>
      </c>
      <c r="AB258" s="22"/>
      <c r="AC258" s="22"/>
      <c r="AD258" s="22"/>
      <c r="AE258" s="1">
        <f t="shared" si="105"/>
        <v>617</v>
      </c>
      <c r="AF258" s="1">
        <f t="shared" si="106"/>
      </c>
      <c r="AG258" s="1" t="str">
        <f t="shared" si="107"/>
        <v>C.Y.</v>
      </c>
      <c r="AH258" s="1" t="str">
        <f t="shared" si="108"/>
        <v>Stabilized crushed aggregate berm in place and compacted at the average depth of </v>
      </c>
      <c r="AI258" s="1">
        <f t="shared" si="109"/>
      </c>
      <c r="AJ258" s="1" t="str">
        <f t="shared" si="110"/>
        <v> inches</v>
      </c>
      <c r="AK258" s="1">
        <f t="shared" si="111"/>
      </c>
      <c r="AL258" s="1">
        <f t="shared" si="112"/>
      </c>
      <c r="AM258" s="1">
        <f t="shared" si="113"/>
      </c>
      <c r="AN258" s="1"/>
      <c r="AO258" s="27">
        <f>LOOKUP(F250,Reference!A$2:X$2,Reference!$A$32:$X$32)</f>
        <v>58</v>
      </c>
      <c r="AP258" s="30"/>
      <c r="AQ258" s="27">
        <f t="shared" si="114"/>
        <v>58</v>
      </c>
      <c r="AR258" s="1" t="str">
        <f t="shared" si="115"/>
        <v>Stabilized crushed aggregate berm in place and compacted at the average depth of  inches</v>
      </c>
    </row>
    <row r="259" spans="1:44" ht="12.75">
      <c r="A259" s="3" t="str">
        <f>LOOKUP(A250,Reference!$A$2:$X$2,Reference!A$11:X$11)</f>
        <v>Pavement Length</v>
      </c>
      <c r="B259" s="3"/>
      <c r="C259" s="5">
        <v>0</v>
      </c>
      <c r="D259" t="str">
        <f>LOOKUP(C250,Reference!$A$2:$X$2,Reference!A$11:X$11)</f>
        <v>feet</v>
      </c>
      <c r="H259" s="12" t="s">
        <v>46</v>
      </c>
      <c r="I259" s="11">
        <f>IF(A250=1,I258+I254+I253,0)</f>
        <v>0</v>
      </c>
      <c r="J259" s="9"/>
      <c r="K259" s="12" t="s">
        <v>48</v>
      </c>
      <c r="L259">
        <f>IF(A250=2,C259*C260,0)</f>
        <v>0</v>
      </c>
      <c r="N259" s="17" t="s">
        <v>46</v>
      </c>
      <c r="O259" s="11">
        <f>O258+O253+O254</f>
        <v>0</v>
      </c>
      <c r="P259" s="9"/>
      <c r="Q259" s="17" t="s">
        <v>46</v>
      </c>
      <c r="R259" s="11">
        <f>R258+R253+R254</f>
        <v>0</v>
      </c>
      <c r="S259" s="9"/>
      <c r="T259">
        <f t="shared" si="116"/>
        <v>6E-05</v>
      </c>
      <c r="U259">
        <f t="shared" si="117"/>
        <v>0</v>
      </c>
      <c r="V259" s="22">
        <f>LOOKUP(A250,Reference!$A$2:$X$2,Reference!$A$33:$X$33)</f>
        <v>254</v>
      </c>
      <c r="W259" s="22">
        <f>IF(AND(A250=2,NOT(C268=424)),M262,0)+IF(AND(C259&gt;0,A250=3),1,0)+IF(AND(C259&gt;0,A250=4),1,0)+IF(A250=1,I257,0)</f>
        <v>0</v>
      </c>
      <c r="X259" s="22" t="str">
        <f>LOOKUP(B250,Reference!$A$2:$X$2,Reference!$A$33:$X$33)</f>
        <v>S.Y.</v>
      </c>
      <c r="Y259" s="22" t="str">
        <f>LOOKUP(C250,Reference!$A$2:$X$2,Reference!$A$33:$X$33)</f>
        <v>Pavement Planing</v>
      </c>
      <c r="Z259" s="22">
        <f>IF(AND(A250=2,NOT(C268=424)),C262,0)+IF(A250=1,J257,0)</f>
        <v>0</v>
      </c>
      <c r="AA259" s="22" t="str">
        <f>LOOKUP(D250,Reference!$A$2:$X$2,Reference!$A$33:$X$33)</f>
        <v> (20' length including radius)</v>
      </c>
      <c r="AB259" s="22"/>
      <c r="AC259" s="22"/>
      <c r="AD259" s="22"/>
      <c r="AE259" s="1">
        <f t="shared" si="105"/>
        <v>254</v>
      </c>
      <c r="AF259" s="1">
        <f t="shared" si="106"/>
      </c>
      <c r="AG259" s="1" t="str">
        <f t="shared" si="107"/>
        <v>S.Y.</v>
      </c>
      <c r="AH259" s="1" t="str">
        <f t="shared" si="108"/>
        <v>Pavement Planing</v>
      </c>
      <c r="AI259" s="1">
        <f t="shared" si="109"/>
      </c>
      <c r="AJ259" s="1" t="str">
        <f t="shared" si="110"/>
        <v> (20' length including radius)</v>
      </c>
      <c r="AK259" s="1">
        <f t="shared" si="111"/>
      </c>
      <c r="AL259" s="1">
        <f t="shared" si="112"/>
      </c>
      <c r="AM259" s="1">
        <f t="shared" si="113"/>
      </c>
      <c r="AN259" s="1"/>
      <c r="AO259" s="27">
        <f>LOOKUP(F250,Reference!A$2:X$2,Reference!$A$33:$X$33)</f>
        <v>15</v>
      </c>
      <c r="AP259" s="30"/>
      <c r="AQ259" s="27">
        <f t="shared" si="114"/>
        <v>15</v>
      </c>
      <c r="AR259" s="1" t="str">
        <f t="shared" si="115"/>
        <v>Pavement Planing (20' length including radius)</v>
      </c>
    </row>
    <row r="260" spans="1:44" ht="12.75">
      <c r="A260" s="3" t="str">
        <f>LOOKUP(A250,Reference!$A$2:$X$2,Reference!A$12:X$12)</f>
        <v>Intermediate Course</v>
      </c>
      <c r="B260" s="3"/>
      <c r="C260" s="5">
        <v>0</v>
      </c>
      <c r="D260" t="str">
        <f>LOOKUP(C250,Reference!$A$2:$X$2,Reference!A$12:X$12)</f>
        <v>inches</v>
      </c>
      <c r="H260" s="7"/>
      <c r="I260" s="11"/>
      <c r="J260" s="13">
        <f>MROUND(I259*C260/12*1/27+0.4,1)</f>
        <v>0</v>
      </c>
      <c r="K260" s="12" t="s">
        <v>46</v>
      </c>
      <c r="L260">
        <f>IF(A250=2,L253+L254+L258+L259,0)</f>
        <v>0</v>
      </c>
      <c r="N260" s="18" t="s">
        <v>70</v>
      </c>
      <c r="O260" s="8">
        <f>IF(A250=3,C260,0)</f>
        <v>0</v>
      </c>
      <c r="P260" s="9">
        <f>MROUND(O259/9*O260/2400+2,5)</f>
        <v>0</v>
      </c>
      <c r="Q260" s="18" t="s">
        <v>77</v>
      </c>
      <c r="R260" s="8">
        <f>IF(A250=4,C260,0)</f>
        <v>0</v>
      </c>
      <c r="S260" s="9">
        <f>MROUND(R259/9*R260/2400+2,5)</f>
        <v>0</v>
      </c>
      <c r="T260">
        <f t="shared" si="116"/>
        <v>7.000000000000001E-05</v>
      </c>
      <c r="U260">
        <f t="shared" si="117"/>
        <v>0</v>
      </c>
      <c r="V260" s="22">
        <f>LOOKUP(A250,Reference!$A$2:$X$2,Reference!$A$34:$X$34)</f>
        <v>614</v>
      </c>
      <c r="W260" s="22">
        <f>IF(AND(C259&gt;0,A250=1),1,0)+IF(AND(C259&gt;0,A250=4),1,0)+IF(A250=2,M268,0)</f>
        <v>0</v>
      </c>
      <c r="X260" s="22" t="str">
        <f>LOOKUP(B250,Reference!$A$2:$X$2,Reference!$A$34:$X$34)</f>
        <v>L.S.</v>
      </c>
      <c r="Y260" s="22" t="str">
        <f>LOOKUP(C250,Reference!$A$2:$X$2,Reference!$A$34:$X$34)</f>
        <v>Maintaining Traffic</v>
      </c>
      <c r="Z260" s="22"/>
      <c r="AA260" s="22">
        <f>LOOKUP(D250,Reference!$A$2:$X$2,Reference!$A$34:$X$34)</f>
        <v>0</v>
      </c>
      <c r="AB260" s="22"/>
      <c r="AC260" s="22"/>
      <c r="AD260" s="22"/>
      <c r="AE260" s="1">
        <f t="shared" si="105"/>
        <v>614</v>
      </c>
      <c r="AF260" s="1">
        <f t="shared" si="106"/>
      </c>
      <c r="AG260" s="1" t="str">
        <f t="shared" si="107"/>
        <v>L.S.</v>
      </c>
      <c r="AH260" s="1" t="str">
        <f t="shared" si="108"/>
        <v>Maintaining Traffic</v>
      </c>
      <c r="AI260" s="1">
        <f t="shared" si="109"/>
      </c>
      <c r="AJ260" s="1">
        <f t="shared" si="110"/>
      </c>
      <c r="AK260" s="1">
        <f t="shared" si="111"/>
      </c>
      <c r="AL260" s="1">
        <f t="shared" si="112"/>
      </c>
      <c r="AM260" s="1">
        <f t="shared" si="113"/>
      </c>
      <c r="AN260" s="1"/>
      <c r="AO260" s="27">
        <f>LOOKUP(F250,Reference!A$2:X$2,Reference!$A$34:$X$34)</f>
        <v>2000</v>
      </c>
      <c r="AP260" s="30"/>
      <c r="AQ260" s="27">
        <f t="shared" si="114"/>
        <v>2000</v>
      </c>
      <c r="AR260" s="1" t="str">
        <f t="shared" si="115"/>
        <v>Maintaining Traffic</v>
      </c>
    </row>
    <row r="261" spans="1:44" ht="12.75">
      <c r="A261" s="3" t="str">
        <f>LOOKUP(A250,Reference!$A$2:$X$2,Reference!A$13:X$13)</f>
        <v>Surface Course</v>
      </c>
      <c r="B261" s="3"/>
      <c r="C261" s="5">
        <v>0</v>
      </c>
      <c r="D261" t="str">
        <f>LOOKUP(C250,Reference!$A$2:$X$2,Reference!A$13:X$13)</f>
        <v>inches</v>
      </c>
      <c r="H261" s="7"/>
      <c r="I261" s="11"/>
      <c r="J261" s="13">
        <f>MROUND(I259*C261/12*1/27+0.4,1)</f>
        <v>0</v>
      </c>
      <c r="K261" s="3" t="s">
        <v>54</v>
      </c>
      <c r="M261">
        <f>MROUND(L260*C261/12*1/27,1)</f>
        <v>0</v>
      </c>
      <c r="N261" s="18" t="s">
        <v>64</v>
      </c>
      <c r="O261" s="11">
        <f>IF(A250=3,C261,0)</f>
        <v>0</v>
      </c>
      <c r="P261" s="9">
        <f>MROUND(O261*O259/9+2.4,5)</f>
        <v>0</v>
      </c>
      <c r="Q261" s="18" t="s">
        <v>78</v>
      </c>
      <c r="R261" s="11">
        <f>IF(A250=4,C261,0)</f>
        <v>0</v>
      </c>
      <c r="S261" s="9">
        <f>MROUND(R261*R259/9+2.4,5)</f>
        <v>0</v>
      </c>
      <c r="T261">
        <f t="shared" si="116"/>
        <v>8E-05</v>
      </c>
      <c r="U261">
        <f t="shared" si="117"/>
        <v>0</v>
      </c>
      <c r="V261" s="22">
        <f>LOOKUP(A250,Reference!$A$2:$X$2,Reference!$A$35:$X$35)</f>
        <v>624</v>
      </c>
      <c r="W261" s="22">
        <f>IF(AND(C259&gt;0,A250=1),1,0)+IF(AND(C259&gt;0,A250=4),1,0)+IF(AND(A250=2,C268=424),M262,0)</f>
        <v>0</v>
      </c>
      <c r="X261" s="22" t="str">
        <f>LOOKUP(B250,Reference!$A$2:$X$2,Reference!$A$35:$X$35)</f>
        <v>L.S.</v>
      </c>
      <c r="Y261" s="22" t="str">
        <f>LOOKUP(C250,Reference!$A$2:$X$2,Reference!$A$35:$X$35)</f>
        <v>Mobilization</v>
      </c>
      <c r="Z261" s="22">
        <f>IF(AND(A250=2,C268=424),C262,0)</f>
        <v>0</v>
      </c>
      <c r="AA261" s="22">
        <f>LOOKUP(D250,Reference!$A$2:$X$2,Reference!$A$35:$X$35)</f>
        <v>0</v>
      </c>
      <c r="AB261" s="22"/>
      <c r="AC261" s="22"/>
      <c r="AD261" s="22"/>
      <c r="AE261" s="1">
        <f t="shared" si="105"/>
        <v>624</v>
      </c>
      <c r="AF261" s="1">
        <f t="shared" si="106"/>
      </c>
      <c r="AG261" s="1" t="str">
        <f t="shared" si="107"/>
        <v>L.S.</v>
      </c>
      <c r="AH261" s="1" t="str">
        <f t="shared" si="108"/>
        <v>Mobilization</v>
      </c>
      <c r="AI261" s="1">
        <f t="shared" si="109"/>
      </c>
      <c r="AJ261" s="1">
        <f t="shared" si="110"/>
      </c>
      <c r="AK261" s="1">
        <f t="shared" si="111"/>
      </c>
      <c r="AL261" s="1">
        <f t="shared" si="112"/>
      </c>
      <c r="AM261" s="1">
        <f t="shared" si="113"/>
      </c>
      <c r="AN261" s="1"/>
      <c r="AO261" s="27">
        <f>LOOKUP(F250,Reference!A$2:X$2,Reference!$A$35:$X$35)</f>
        <v>3000</v>
      </c>
      <c r="AP261" s="30"/>
      <c r="AQ261" s="27">
        <f t="shared" si="114"/>
        <v>3000</v>
      </c>
      <c r="AR261" s="1" t="str">
        <f t="shared" si="115"/>
        <v>Mobilization</v>
      </c>
    </row>
    <row r="262" spans="1:44" ht="12.75">
      <c r="A262" s="3" t="str">
        <f>LOOKUP(A250,Reference!$A$2:$X$2,Reference!A$14:X$14)</f>
        <v>Type of Surface </v>
      </c>
      <c r="B262" s="3"/>
      <c r="C262" s="5">
        <v>0</v>
      </c>
      <c r="D262" t="str">
        <f>LOOKUP(C250,Reference!$A$2:$X$2,Reference!A$14:X$14)</f>
        <v>(424, 823, 448)</v>
      </c>
      <c r="H262" s="12" t="s">
        <v>88</v>
      </c>
      <c r="I262" s="11">
        <v>0.05</v>
      </c>
      <c r="J262" s="9">
        <f>MROUND(I262*I259/9,5)</f>
        <v>0</v>
      </c>
      <c r="K262" s="8" t="s">
        <v>55</v>
      </c>
      <c r="M262">
        <f>MROUND(L260*C262/12*1/27,1)</f>
        <v>0</v>
      </c>
      <c r="N262" s="12" t="s">
        <v>69</v>
      </c>
      <c r="O262" s="11">
        <f>IF(A250=3,C262,0)</f>
        <v>0</v>
      </c>
      <c r="P262" s="9"/>
      <c r="Q262" s="12" t="s">
        <v>79</v>
      </c>
      <c r="R262" s="11">
        <f>IF(A250=4,C262,0)</f>
        <v>0</v>
      </c>
      <c r="S262" s="9"/>
      <c r="T262">
        <f t="shared" si="116"/>
        <v>9E-05</v>
      </c>
      <c r="U262">
        <f t="shared" si="117"/>
        <v>0</v>
      </c>
      <c r="V262" s="22">
        <f>LOOKUP(A250,Reference!$A$2:$X$2,Reference!$A$36:$X$36)</f>
        <v>103.05</v>
      </c>
      <c r="W262" s="22">
        <f>+IF(A250=2,M255,0)+IF(AND(C259&gt;0,A250=1),1,0)</f>
        <v>0</v>
      </c>
      <c r="X262" s="22" t="str">
        <f>LOOKUP(B250,Reference!$A$2:$X$2,Reference!$A$36:$X$36)</f>
        <v>L.S.</v>
      </c>
      <c r="Y262" s="22" t="str">
        <f>LOOKUP(C250,Reference!$A$2:$X$2,Reference!$A$36:$X$36)</f>
        <v>Contract Performance &amp; Payment Bond</v>
      </c>
      <c r="Z262" s="22">
        <f>IF(A250=2,C256,0)</f>
        <v>0</v>
      </c>
      <c r="AA262" s="22">
        <f>LOOKUP(D250,Reference!$A$2:$X$2,Reference!$A$36:$X$36)</f>
        <v>0</v>
      </c>
      <c r="AB262" s="22"/>
      <c r="AC262" s="22"/>
      <c r="AD262" s="22"/>
      <c r="AE262" s="1">
        <f t="shared" si="105"/>
        <v>103.05</v>
      </c>
      <c r="AF262" s="1">
        <f t="shared" si="106"/>
      </c>
      <c r="AG262" s="1" t="str">
        <f t="shared" si="107"/>
        <v>L.S.</v>
      </c>
      <c r="AH262" s="1" t="str">
        <f t="shared" si="108"/>
        <v>Contract Performance &amp; Payment Bond</v>
      </c>
      <c r="AI262" s="1">
        <f t="shared" si="109"/>
      </c>
      <c r="AJ262" s="1">
        <f t="shared" si="110"/>
      </c>
      <c r="AK262" s="1">
        <f t="shared" si="111"/>
      </c>
      <c r="AL262" s="1">
        <f t="shared" si="112"/>
      </c>
      <c r="AM262" s="1">
        <f t="shared" si="113"/>
      </c>
      <c r="AN262" s="1"/>
      <c r="AO262" s="27">
        <f>LOOKUP(F250,Reference!A$2:X$2,Reference!$A$36:$X$36)</f>
        <v>1000</v>
      </c>
      <c r="AP262" s="30"/>
      <c r="AQ262" s="27">
        <f t="shared" si="114"/>
        <v>1000</v>
      </c>
      <c r="AR262" s="1" t="str">
        <f t="shared" si="115"/>
        <v>Contract Performance &amp; Payment Bond</v>
      </c>
    </row>
    <row r="263" spans="1:44" ht="12.75">
      <c r="A263" s="3">
        <f>LOOKUP(A250,Reference!$A$2:$X$2,Reference!A$15:X$15)</f>
        <v>0</v>
      </c>
      <c r="B263" s="3"/>
      <c r="C263" s="5">
        <v>0</v>
      </c>
      <c r="D263">
        <f>LOOKUP(C250,Reference!$A$2:$X$2,Reference!A$15:X$15)</f>
        <v>0</v>
      </c>
      <c r="H263" s="12" t="s">
        <v>89</v>
      </c>
      <c r="I263" s="11">
        <f>IF(C260&gt;0.1,0.05,0)</f>
        <v>0</v>
      </c>
      <c r="J263" s="9">
        <f>IF(AND(A250=1,NOT(C262=424)),MROUND(I263*I259/9,5),0)</f>
        <v>0</v>
      </c>
      <c r="K263" s="15" t="s">
        <v>57</v>
      </c>
      <c r="L263">
        <f>IF(A250=2,C260*C263,0)</f>
        <v>0</v>
      </c>
      <c r="M263">
        <f>MROUND(L263*C264/12*1/27,1)</f>
        <v>0</v>
      </c>
      <c r="N263" s="12" t="s">
        <v>59</v>
      </c>
      <c r="O263" s="11">
        <f>IF(A250=3,C263,0)</f>
        <v>0</v>
      </c>
      <c r="P263" s="9">
        <f>MROUND(O263*O259/9+2.4,5)</f>
        <v>0</v>
      </c>
      <c r="Q263" s="18" t="s">
        <v>80</v>
      </c>
      <c r="R263" s="8">
        <f>IF(A250=4,C263,0)</f>
        <v>0</v>
      </c>
      <c r="S263" s="9">
        <f>MROUND(R259/9*R263/2400+2,5)</f>
        <v>0</v>
      </c>
      <c r="T263">
        <f t="shared" si="116"/>
        <v>0.0001</v>
      </c>
      <c r="U263">
        <f t="shared" si="117"/>
        <v>0</v>
      </c>
      <c r="V263" s="22">
        <f>LOOKUP(A250,Reference!$A$2:$X$2,Reference!$A$37:$X$37)</f>
        <v>0</v>
      </c>
      <c r="W263" s="22">
        <f>IF(A250=2,L257,0)</f>
        <v>0</v>
      </c>
      <c r="X263" s="22">
        <f>LOOKUP(B250,Reference!$A$2:$X$2,Reference!$A$37:$X$37)</f>
        <v>0</v>
      </c>
      <c r="Y263" s="22">
        <f>LOOKUP(C250,Reference!$A$2:$X$2,Reference!$A$37:$X$37)</f>
        <v>0</v>
      </c>
      <c r="Z263" s="22">
        <f>IF(A250=2,M257,0)</f>
        <v>0</v>
      </c>
      <c r="AA263" s="22">
        <f>LOOKUP(D250,Reference!$A$2:$X$2,Reference!$A$37:$X$37)</f>
        <v>0</v>
      </c>
      <c r="AB263" s="22"/>
      <c r="AC263" s="22"/>
      <c r="AD263" s="22"/>
      <c r="AE263" s="1">
        <f t="shared" si="105"/>
      </c>
      <c r="AF263" s="1">
        <f t="shared" si="106"/>
      </c>
      <c r="AG263" s="1">
        <f t="shared" si="107"/>
      </c>
      <c r="AH263" s="1">
        <f t="shared" si="108"/>
      </c>
      <c r="AI263" s="1">
        <f t="shared" si="109"/>
      </c>
      <c r="AJ263" s="1">
        <f t="shared" si="110"/>
      </c>
      <c r="AK263" s="1">
        <f t="shared" si="111"/>
      </c>
      <c r="AL263" s="1">
        <f t="shared" si="112"/>
      </c>
      <c r="AM263" s="1">
        <f t="shared" si="113"/>
      </c>
      <c r="AN263" s="1"/>
      <c r="AO263" s="27">
        <f>LOOKUP(F250,Reference!A$2:X$2,Reference!$A$37:$X$37)</f>
        <v>0</v>
      </c>
      <c r="AP263" s="30"/>
      <c r="AQ263" s="27">
        <f t="shared" si="114"/>
        <v>0</v>
      </c>
      <c r="AR263" s="1">
        <f t="shared" si="115"/>
      </c>
    </row>
    <row r="264" spans="1:44" ht="12.75">
      <c r="A264" s="3">
        <f>LOOKUP(A250,Reference!$A$2:$X$2,Reference!A$16:X$16)</f>
        <v>0</v>
      </c>
      <c r="B264" s="3"/>
      <c r="C264" s="5">
        <v>0</v>
      </c>
      <c r="D264">
        <f>LOOKUP(C250,Reference!$A$2:$X$2,Reference!A$16:X$16)</f>
        <v>0</v>
      </c>
      <c r="H264" s="16" t="s">
        <v>132</v>
      </c>
      <c r="I264" s="11">
        <v>0.05</v>
      </c>
      <c r="J264" s="9">
        <f>IF(AND(A250=1,C262=424),MROUND(I264*I259/9,5),0)</f>
        <v>0</v>
      </c>
      <c r="K264" s="15" t="s">
        <v>96</v>
      </c>
      <c r="L264">
        <f>IF(A250=2,C265,0)</f>
        <v>0</v>
      </c>
      <c r="N264" s="7"/>
      <c r="O264" s="11"/>
      <c r="P264" s="9"/>
      <c r="Q264" s="18" t="s">
        <v>81</v>
      </c>
      <c r="R264" s="11">
        <f>IF(A250=4,C264,0)</f>
        <v>0</v>
      </c>
      <c r="S264" s="9">
        <f>MROUND(R264*R259/9+2.4,5)</f>
        <v>0</v>
      </c>
      <c r="T264">
        <f t="shared" si="116"/>
        <v>0.00011</v>
      </c>
      <c r="U264">
        <f t="shared" si="117"/>
        <v>0</v>
      </c>
      <c r="V264" s="22">
        <f>LOOKUP(A250,Reference!$A$2:$X$2,Reference!$A$38:$X$38)</f>
        <v>0</v>
      </c>
      <c r="W264" s="22">
        <f>IF(AND(C260&gt;0,A250=2),1,0)</f>
        <v>0</v>
      </c>
      <c r="X264" s="22">
        <f>LOOKUP(B250,Reference!$A$2:$X$2,Reference!$A$38:$X$38)</f>
        <v>0</v>
      </c>
      <c r="Y264" s="22">
        <f>LOOKUP(C250,Reference!$A$2:$X$2,Reference!$A$38:$X$38)</f>
        <v>0</v>
      </c>
      <c r="Z264" s="22"/>
      <c r="AA264" s="22">
        <f>LOOKUP(D250,Reference!$A$2:$X$2,Reference!$A$38:$X$38)</f>
        <v>0</v>
      </c>
      <c r="AB264" s="22"/>
      <c r="AC264" s="22"/>
      <c r="AD264" s="22"/>
      <c r="AE264" s="1">
        <f t="shared" si="105"/>
      </c>
      <c r="AF264" s="1">
        <f t="shared" si="106"/>
      </c>
      <c r="AG264" s="1">
        <f t="shared" si="107"/>
      </c>
      <c r="AH264" s="1">
        <f t="shared" si="108"/>
      </c>
      <c r="AI264" s="1">
        <f t="shared" si="109"/>
      </c>
      <c r="AJ264" s="1">
        <f t="shared" si="110"/>
      </c>
      <c r="AK264" s="1">
        <f t="shared" si="111"/>
      </c>
      <c r="AL264" s="1">
        <f t="shared" si="112"/>
      </c>
      <c r="AM264" s="1">
        <f t="shared" si="113"/>
      </c>
      <c r="AN264" s="1"/>
      <c r="AO264" s="27">
        <f>LOOKUP(F250,Reference!A$2:X$2,Reference!$A$38:$X$38)</f>
        <v>0</v>
      </c>
      <c r="AP264" s="30"/>
      <c r="AQ264" s="27">
        <f t="shared" si="114"/>
        <v>0</v>
      </c>
      <c r="AR264" s="1">
        <f t="shared" si="115"/>
      </c>
    </row>
    <row r="265" spans="1:44" ht="12.75">
      <c r="A265" s="3">
        <f>LOOKUP(A250,Reference!$A$2:$X$2,Reference!A$17:X$17)</f>
        <v>0</v>
      </c>
      <c r="B265" s="3"/>
      <c r="C265" s="4">
        <v>0</v>
      </c>
      <c r="D265">
        <f>LOOKUP(C250,Reference!$A$2:$X$2,Reference!A$17:X$17)</f>
        <v>0</v>
      </c>
      <c r="H265" s="12" t="s">
        <v>116</v>
      </c>
      <c r="I265" s="11">
        <f>IF(A250=1,C259,0)</f>
        <v>0</v>
      </c>
      <c r="J265" s="9"/>
      <c r="K265" s="15" t="s">
        <v>91</v>
      </c>
      <c r="L265">
        <f>IF(A250=2,C266,0)</f>
        <v>0</v>
      </c>
      <c r="N265" s="12" t="s">
        <v>116</v>
      </c>
      <c r="O265" s="11">
        <f>IF(A250=3,C259,0)</f>
        <v>0</v>
      </c>
      <c r="P265" s="9"/>
      <c r="Q265" s="12" t="s">
        <v>82</v>
      </c>
      <c r="R265" s="11">
        <f>IF(A250=4,C265,0)</f>
        <v>0</v>
      </c>
      <c r="S265" s="9"/>
      <c r="T265">
        <f t="shared" si="116"/>
        <v>0.00012</v>
      </c>
      <c r="U265">
        <f t="shared" si="117"/>
        <v>0</v>
      </c>
      <c r="V265" s="22">
        <f>LOOKUP(A250,Reference!$A$2:$X$2,Reference!$A$39:$X$39)</f>
        <v>0</v>
      </c>
      <c r="W265" s="22">
        <f>IF(AND(C260&gt;0,A250=2),1,0)</f>
        <v>0</v>
      </c>
      <c r="X265" s="22">
        <f>LOOKUP(B250,Reference!$A$2:$X$2,Reference!$A$39:$X$39)</f>
        <v>0</v>
      </c>
      <c r="Y265" s="22">
        <f>LOOKUP(C250,Reference!$A$2:$X$2,Reference!$A$39:$X$39)</f>
        <v>0</v>
      </c>
      <c r="Z265" s="22"/>
      <c r="AA265" s="22">
        <f>LOOKUP(D250,Reference!$A$2:$X$2,Reference!$A$39:$X$39)</f>
        <v>0</v>
      </c>
      <c r="AB265" s="22"/>
      <c r="AC265" s="22"/>
      <c r="AD265" s="22"/>
      <c r="AE265" s="1">
        <f t="shared" si="105"/>
      </c>
      <c r="AF265" s="1">
        <f t="shared" si="106"/>
      </c>
      <c r="AG265" s="1">
        <f t="shared" si="107"/>
      </c>
      <c r="AH265" s="1">
        <f t="shared" si="108"/>
      </c>
      <c r="AI265" s="1">
        <f t="shared" si="109"/>
      </c>
      <c r="AJ265" s="1">
        <f t="shared" si="110"/>
      </c>
      <c r="AK265" s="1">
        <f t="shared" si="111"/>
      </c>
      <c r="AL265" s="1">
        <f t="shared" si="112"/>
      </c>
      <c r="AM265" s="1">
        <f t="shared" si="113"/>
      </c>
      <c r="AN265" s="1"/>
      <c r="AO265" s="27">
        <f>LOOKUP(F250,Reference!A$2:X$2,Reference!$A$39:$X$39)</f>
        <v>0</v>
      </c>
      <c r="AP265" s="30"/>
      <c r="AQ265" s="27">
        <f t="shared" si="114"/>
        <v>0</v>
      </c>
      <c r="AR265" s="1">
        <f t="shared" si="115"/>
      </c>
    </row>
    <row r="266" spans="1:44" ht="12.75">
      <c r="A266" s="3">
        <f>LOOKUP(A250,Reference!$A$2:$X$2,Reference!A$18:O$18)</f>
        <v>0</v>
      </c>
      <c r="B266" s="3"/>
      <c r="C266" s="5">
        <v>0</v>
      </c>
      <c r="D266">
        <f>LOOKUP(C250,Reference!$A$2:$X$2,Reference!A$18:X$18)</f>
        <v>0</v>
      </c>
      <c r="H266" s="12" t="s">
        <v>117</v>
      </c>
      <c r="I266" s="11">
        <f>IF(A250=1,C258,0)</f>
        <v>0</v>
      </c>
      <c r="J266" s="9"/>
      <c r="K266" s="16" t="s">
        <v>88</v>
      </c>
      <c r="L266">
        <v>0.05</v>
      </c>
      <c r="M266">
        <f>MROUND(L266*L260/9,5)</f>
        <v>0</v>
      </c>
      <c r="N266" s="12" t="s">
        <v>117</v>
      </c>
      <c r="O266" s="11">
        <f>IF(A250=3,C258,0)</f>
        <v>0</v>
      </c>
      <c r="P266" s="9"/>
      <c r="Q266" s="12" t="s">
        <v>59</v>
      </c>
      <c r="R266" s="11">
        <f>IF(A250=4,C266,0)</f>
        <v>0</v>
      </c>
      <c r="S266" s="9">
        <f>MROUND(R266*R259/9+2.4,5)</f>
        <v>0</v>
      </c>
      <c r="T266">
        <f t="shared" si="116"/>
        <v>0.00013000000000000002</v>
      </c>
      <c r="U266">
        <f t="shared" si="117"/>
        <v>0</v>
      </c>
      <c r="V266" s="22">
        <f>LOOKUP(A250,Reference!$A$2:$X$2,Reference!$A$40:$X$40)</f>
        <v>0</v>
      </c>
      <c r="W266" s="22">
        <f>IF(AND(C260&gt;0,A250=2),1,0)</f>
        <v>0</v>
      </c>
      <c r="X266" s="22">
        <f>LOOKUP(B250,Reference!$A$2:$X$2,Reference!$A$40:$X$40)</f>
        <v>0</v>
      </c>
      <c r="Y266" s="22">
        <f>LOOKUP(C250,Reference!$A$2:$X$2,Reference!$A$40:$X$40)</f>
        <v>0</v>
      </c>
      <c r="Z266" s="22"/>
      <c r="AA266" s="22">
        <f>LOOKUP(D250,Reference!$A$2:$X$2,Reference!$A$40:$X$40)</f>
        <v>0</v>
      </c>
      <c r="AB266" s="22"/>
      <c r="AC266" s="22"/>
      <c r="AD266" s="22"/>
      <c r="AE266" s="1">
        <f t="shared" si="105"/>
      </c>
      <c r="AF266" s="1">
        <f t="shared" si="106"/>
      </c>
      <c r="AG266" s="1">
        <f t="shared" si="107"/>
      </c>
      <c r="AH266" s="1">
        <f t="shared" si="108"/>
      </c>
      <c r="AI266" s="1">
        <f t="shared" si="109"/>
      </c>
      <c r="AJ266" s="1">
        <f t="shared" si="110"/>
      </c>
      <c r="AK266" s="1">
        <f t="shared" si="111"/>
      </c>
      <c r="AL266" s="1">
        <f t="shared" si="112"/>
      </c>
      <c r="AM266" s="1">
        <f t="shared" si="113"/>
      </c>
      <c r="AN266" s="1"/>
      <c r="AO266" s="27">
        <f>LOOKUP(F250,Reference!A$2:X$2,Reference!$A$40:$X$40)</f>
        <v>0</v>
      </c>
      <c r="AP266" s="30"/>
      <c r="AQ266" s="27">
        <f t="shared" si="114"/>
        <v>0</v>
      </c>
      <c r="AR266" s="1">
        <f t="shared" si="115"/>
      </c>
    </row>
    <row r="267" spans="1:44" ht="12.75">
      <c r="A267" s="3">
        <f>LOOKUP(A250,Reference!$A$2:$X$2,Reference!A$19:O$19)</f>
        <v>0</v>
      </c>
      <c r="B267" s="3"/>
      <c r="C267" s="4"/>
      <c r="D267">
        <f>LOOKUP(C250,Reference!$A$2:$X$2,Reference!A$19:X$19)</f>
        <v>0</v>
      </c>
      <c r="H267" s="7"/>
      <c r="I267" s="11"/>
      <c r="J267" s="9"/>
      <c r="K267" s="16" t="s">
        <v>89</v>
      </c>
      <c r="L267">
        <f>IF(C261&gt;0.1,0.05,0)</f>
        <v>0</v>
      </c>
      <c r="M267">
        <f>IF(NOT(C268=424),MROUND(L267*L260/9,5),0)</f>
        <v>0</v>
      </c>
      <c r="N267" s="7"/>
      <c r="O267" s="11"/>
      <c r="P267" s="9"/>
      <c r="R267" s="11"/>
      <c r="S267" s="9"/>
      <c r="T267">
        <f t="shared" si="116"/>
        <v>0.00014000000000000001</v>
      </c>
      <c r="U267">
        <f t="shared" si="117"/>
        <v>0</v>
      </c>
      <c r="V267" s="22">
        <f>LOOKUP(A250,Reference!$A$2:$X$2,Reference!$A$41:$X$41)</f>
        <v>0</v>
      </c>
      <c r="W267" s="22"/>
      <c r="X267" s="22">
        <f>LOOKUP(B250,Reference!$A$2:$X$2,Reference!$A$41:$X$41)</f>
        <v>0</v>
      </c>
      <c r="Y267" s="22">
        <f>LOOKUP(C250,Reference!$A$2:$X$2,Reference!$A$41:$X$41)</f>
        <v>0</v>
      </c>
      <c r="Z267" s="22"/>
      <c r="AA267" s="22">
        <f>LOOKUP(D250,Reference!$A$2:$X$2,Reference!$A$41:$X$41)</f>
        <v>0</v>
      </c>
      <c r="AB267" s="22"/>
      <c r="AC267" s="22"/>
      <c r="AD267" s="22"/>
      <c r="AE267" s="1">
        <f t="shared" si="105"/>
      </c>
      <c r="AF267" s="1">
        <f t="shared" si="106"/>
      </c>
      <c r="AG267" s="1">
        <f t="shared" si="107"/>
      </c>
      <c r="AH267" s="1">
        <f t="shared" si="108"/>
      </c>
      <c r="AI267" s="1">
        <f t="shared" si="109"/>
      </c>
      <c r="AJ267" s="1">
        <f t="shared" si="110"/>
      </c>
      <c r="AK267" s="1">
        <f t="shared" si="111"/>
      </c>
      <c r="AL267" s="1">
        <f t="shared" si="112"/>
      </c>
      <c r="AM267" s="1">
        <f t="shared" si="113"/>
      </c>
      <c r="AN267" s="1"/>
      <c r="AO267" s="27">
        <f>LOOKUP(F250,Reference!A$2:X$2,Reference!$A$41:$X$41)</f>
        <v>0</v>
      </c>
      <c r="AP267" s="30"/>
      <c r="AQ267" s="27">
        <f t="shared" si="114"/>
        <v>0</v>
      </c>
      <c r="AR267" s="1">
        <f t="shared" si="115"/>
      </c>
    </row>
    <row r="268" spans="1:44" ht="12.75">
      <c r="A268" s="3">
        <f>LOOKUP(A250,Reference!$A$2:$X$2,Reference!A$20:X$20)</f>
        <v>0</v>
      </c>
      <c r="B268" s="3"/>
      <c r="C268" s="5"/>
      <c r="D268">
        <f>LOOKUP(C250,Reference!$A$2:$X$2,Reference!A$20:X$20)</f>
        <v>0</v>
      </c>
      <c r="H268" s="7"/>
      <c r="I268" s="11"/>
      <c r="J268" s="9"/>
      <c r="K268" s="16" t="s">
        <v>132</v>
      </c>
      <c r="L268">
        <f>IF(C261&gt;0.1,0.08,0)</f>
        <v>0</v>
      </c>
      <c r="M268">
        <f>IF(C268=424,MROUND(L268*L260/9,5),0)</f>
        <v>0</v>
      </c>
      <c r="N268" s="12"/>
      <c r="O268" s="11"/>
      <c r="P268" s="19"/>
      <c r="Q268" s="12" t="s">
        <v>116</v>
      </c>
      <c r="R268" s="11">
        <f>IF(A250=4,C259,0)</f>
        <v>0</v>
      </c>
      <c r="S268" s="9"/>
      <c r="T268">
        <f t="shared" si="116"/>
        <v>0.00015000000000000001</v>
      </c>
      <c r="U268">
        <f t="shared" si="117"/>
        <v>0</v>
      </c>
      <c r="V268" s="22">
        <f>LOOKUP(A250,Reference!$A$2:$X$2,Reference!$A$42:$X$42)</f>
        <v>0</v>
      </c>
      <c r="W268" s="22"/>
      <c r="X268" s="22">
        <f>LOOKUP(B250,Reference!$A$2:$X$2,Reference!$A$42:$X$42)</f>
        <v>0</v>
      </c>
      <c r="Y268" s="22">
        <f>LOOKUP(C250,Reference!$A$2:$X$2,Reference!$A$42:$X$42)</f>
        <v>0</v>
      </c>
      <c r="Z268" s="22"/>
      <c r="AA268" s="22">
        <f>LOOKUP(D250,Reference!$A$2:$X$2,Reference!$A$42:$X$42)</f>
        <v>0</v>
      </c>
      <c r="AB268" s="22"/>
      <c r="AC268" s="22"/>
      <c r="AD268" s="22"/>
      <c r="AE268" s="1">
        <f t="shared" si="105"/>
      </c>
      <c r="AF268" s="1">
        <f t="shared" si="106"/>
      </c>
      <c r="AG268" s="1">
        <f t="shared" si="107"/>
      </c>
      <c r="AH268" s="1">
        <f t="shared" si="108"/>
      </c>
      <c r="AI268" s="1">
        <f t="shared" si="109"/>
      </c>
      <c r="AJ268" s="1">
        <f t="shared" si="110"/>
      </c>
      <c r="AK268" s="1">
        <f t="shared" si="111"/>
      </c>
      <c r="AL268" s="1">
        <f t="shared" si="112"/>
      </c>
      <c r="AM268" s="1">
        <f t="shared" si="113"/>
      </c>
      <c r="AN268" s="1"/>
      <c r="AO268" s="27">
        <f>LOOKUP(F250,Reference!A$2:X$2,Reference!$A$42:$X$42)</f>
        <v>0</v>
      </c>
      <c r="AP268" s="30"/>
      <c r="AQ268" s="27">
        <f t="shared" si="114"/>
        <v>0</v>
      </c>
      <c r="AR268" s="1">
        <f t="shared" si="115"/>
      </c>
    </row>
    <row r="269" spans="1:44" ht="12.75">
      <c r="A269" s="3">
        <f>LOOKUP(A250,Reference!$A$2:$X$2,Reference!A$21:X$21)</f>
        <v>0</v>
      </c>
      <c r="B269" s="3"/>
      <c r="C269" s="5"/>
      <c r="D269">
        <f>LOOKUP(C250,Reference!$A$2:$X$2,Reference!A$21:X$21)</f>
        <v>0</v>
      </c>
      <c r="H269" s="7"/>
      <c r="I269" s="11"/>
      <c r="J269" s="9"/>
      <c r="K269" s="16" t="s">
        <v>101</v>
      </c>
      <c r="L269">
        <f>MROUND(L263/9,5)</f>
        <v>0</v>
      </c>
      <c r="N269" s="7"/>
      <c r="O269" s="11"/>
      <c r="P269" s="9"/>
      <c r="Q269" s="12" t="s">
        <v>117</v>
      </c>
      <c r="R269" s="11">
        <f>IF(A250=4,C258,0)</f>
        <v>0</v>
      </c>
      <c r="S269" s="9"/>
      <c r="V269" s="3" t="s">
        <v>98</v>
      </c>
      <c r="W269">
        <f>MROUND(SUM(R259,O259,L260,I259)/9,5)</f>
        <v>0</v>
      </c>
      <c r="AO269" s="26"/>
      <c r="AP269" s="26"/>
      <c r="AQ269" s="26"/>
      <c r="AR269" s="1">
        <f>CONCATENATE(AH269,AI269,AJ269,AK269,,AM269,AN269)</f>
      </c>
    </row>
    <row r="270" spans="1:28" ht="12.75">
      <c r="A270" s="3">
        <f>LOOKUP(A250,Reference!$A$2:$X$2,Reference!C$22:X$22)</f>
        <v>0</v>
      </c>
      <c r="B270" s="3"/>
      <c r="C270" s="5"/>
      <c r="D270">
        <f>LOOKUP(C250,Reference!$A$2:$X$2,Reference!C$22:X$22)</f>
        <v>0</v>
      </c>
      <c r="H270" s="7"/>
      <c r="I270" s="11"/>
      <c r="J270" s="9"/>
      <c r="K270" s="12" t="s">
        <v>116</v>
      </c>
      <c r="L270">
        <f>IF(A250=2,C260,0)</f>
        <v>0</v>
      </c>
      <c r="N270" s="7"/>
      <c r="O270" s="11"/>
      <c r="P270" s="9"/>
      <c r="R270" s="11"/>
      <c r="S270" s="9"/>
      <c r="V270" s="3" t="s">
        <v>118</v>
      </c>
      <c r="W270">
        <f>R268+O265+L270+I265</f>
        <v>0</v>
      </c>
      <c r="X270" s="3" t="s">
        <v>121</v>
      </c>
      <c r="Y270">
        <f>MROUND(W270/5280,0.01)</f>
        <v>0</v>
      </c>
      <c r="Z270" s="3" t="s">
        <v>120</v>
      </c>
      <c r="AB270" t="str">
        <f>CONCATENATE(V270,W270,X270,Y270,Z270)</f>
        <v>Length:  0 Feet or 0 Mile(s)</v>
      </c>
    </row>
    <row r="271" spans="1:28" ht="12.75">
      <c r="A271" s="3">
        <f>LOOKUP(A250,Reference!$A$2:$X$2,Reference!A$23:X$23)</f>
        <v>0</v>
      </c>
      <c r="B271" s="3"/>
      <c r="C271" s="5"/>
      <c r="D271">
        <f>LOOKUP(C250,Reference!$A$2:$X$2,Reference!A$23:X$23)</f>
        <v>0</v>
      </c>
      <c r="H271" s="7"/>
      <c r="I271" s="11"/>
      <c r="J271" s="9"/>
      <c r="K271" s="12" t="s">
        <v>117</v>
      </c>
      <c r="L271">
        <f>IF(A250=2,C259,0)</f>
        <v>0</v>
      </c>
      <c r="N271" s="7"/>
      <c r="O271" s="11"/>
      <c r="P271" s="9"/>
      <c r="R271" s="11"/>
      <c r="S271" s="19"/>
      <c r="V271" s="3" t="s">
        <v>119</v>
      </c>
      <c r="W271">
        <f>R269+O266+L271+I266</f>
        <v>0</v>
      </c>
      <c r="X271" s="3" t="s">
        <v>122</v>
      </c>
      <c r="Y271" s="3" t="s">
        <v>123</v>
      </c>
      <c r="Z271" s="25">
        <f>W269</f>
        <v>0</v>
      </c>
      <c r="AA271" s="3" t="s">
        <v>124</v>
      </c>
      <c r="AB271" t="str">
        <f>CONCATENATE(V271,W271,X271,Y271,Z271,AA271)</f>
        <v>Width:  0 Feet     (Approx. 0 S.Y. including radius and driveway work)</v>
      </c>
    </row>
    <row r="272" spans="1:28" ht="12.75">
      <c r="A272" s="3">
        <f>LOOKUP(A250,Reference!$A$2:$X$2,Reference!A$24:X$24)</f>
        <v>0</v>
      </c>
      <c r="B272" s="3"/>
      <c r="C272" s="5"/>
      <c r="D272">
        <f>LOOKUP(C250,Reference!$A$2:$X$2,Reference!A$24:X$24)</f>
        <v>0</v>
      </c>
      <c r="H272" s="7">
        <f>IF(AND(A250=1,C262=424),"Type: ODOT Spec 424 Smooth Seal ","")</f>
      </c>
      <c r="I272" s="11" t="str">
        <f>IF(AND(A250=1,NOT(C262=424)),"Type: ODOT Spec 823 ","")</f>
        <v>Type: ODOT Spec 823 </v>
      </c>
      <c r="J272" s="9"/>
      <c r="K272" s="18">
        <f>IF(A250=2,"Type: ODOT Spec 448, with Spec 301 Widening ","")</f>
      </c>
      <c r="N272" s="7">
        <f>IF(A250=3,"Type: Chip Seal, 1997 ODOT Spec 409 ","")</f>
      </c>
      <c r="O272" s="11">
        <f>IF(O263&gt;0,"W/ Fog Seal","")</f>
      </c>
      <c r="P272" s="9"/>
      <c r="Q272">
        <f>IF(A250=4,"Type: Double Chip Seal, 1997 ODOT Spec 409 ","")</f>
      </c>
      <c r="R272" s="11">
        <f>IF(R266&gt;0,"W/ Fog Seal","")</f>
      </c>
      <c r="S272" s="9"/>
      <c r="V272" s="3">
        <f>IF(C255&gt;0,"W/ 617 Berm @ ","")</f>
      </c>
      <c r="W272" s="29">
        <f>IF(C255&gt;0,C255/12,"")</f>
      </c>
      <c r="X272" s="3">
        <f>IF(C255&gt;0," Feet Wide Each Side","")</f>
      </c>
      <c r="AB272" t="str">
        <f>CONCATENATE(H272,I272,J272,K272,L272,M272,N272,O272,P272,Q272,R272,S272,T272,U272,V272,W272,X272)</f>
        <v>Type: ODOT Spec 823 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zoomScale="115" zoomScaleNormal="115" zoomScalePageLayoutView="0" workbookViewId="0" topLeftCell="A1">
      <selection activeCell="A3" sqref="A3:G3"/>
    </sheetView>
  </sheetViews>
  <sheetFormatPr defaultColWidth="11.421875" defaultRowHeight="12.75"/>
  <cols>
    <col min="1" max="2" width="6.8515625" style="40" customWidth="1"/>
    <col min="3" max="3" width="8.421875" style="40" customWidth="1"/>
    <col min="4" max="4" width="7.57421875" style="40" customWidth="1"/>
    <col min="5" max="5" width="55.8515625" style="41" customWidth="1"/>
    <col min="6" max="6" width="13.28125" style="42" customWidth="1"/>
    <col min="7" max="7" width="14.00390625" style="42" customWidth="1"/>
    <col min="8" max="8" width="0" style="36" hidden="1" customWidth="1"/>
    <col min="9" max="16384" width="11.421875" style="36" customWidth="1"/>
  </cols>
  <sheetData>
    <row r="1" spans="1:7" ht="12.75">
      <c r="A1" s="165" t="s">
        <v>13</v>
      </c>
      <c r="B1" s="165"/>
      <c r="C1" s="165"/>
      <c r="D1" s="165"/>
      <c r="E1" s="165"/>
      <c r="F1" s="165"/>
      <c r="G1" s="165"/>
    </row>
    <row r="2" spans="1:7" s="38" customFormat="1" ht="12.75">
      <c r="A2" s="159" t="s">
        <v>0</v>
      </c>
      <c r="B2" s="160"/>
      <c r="C2" s="160"/>
      <c r="D2" s="160"/>
      <c r="E2" s="160"/>
      <c r="F2" s="160"/>
      <c r="G2" s="160"/>
    </row>
    <row r="3" spans="1:7" s="38" customFormat="1" ht="12.75">
      <c r="A3" s="163" t="s">
        <v>164</v>
      </c>
      <c r="B3" s="164"/>
      <c r="C3" s="164"/>
      <c r="D3" s="164"/>
      <c r="E3" s="164"/>
      <c r="F3" s="164"/>
      <c r="G3" s="164"/>
    </row>
    <row r="4" spans="1:7" s="38" customFormat="1" ht="12" customHeight="1">
      <c r="A4" s="161" t="s">
        <v>165</v>
      </c>
      <c r="B4" s="162"/>
      <c r="C4" s="162"/>
      <c r="D4" s="162"/>
      <c r="E4" s="162"/>
      <c r="F4" s="162"/>
      <c r="G4" s="162"/>
    </row>
    <row r="5" ht="11.25" customHeight="1"/>
    <row r="6" spans="1:7" s="44" customFormat="1" ht="12.75">
      <c r="A6" s="43" t="str">
        <f>Quantities!C4</f>
        <v>Road 14 b/ Road M- Road Z</v>
      </c>
      <c r="F6" s="45"/>
      <c r="G6" s="45"/>
    </row>
    <row r="7" spans="1:7" s="38" customFormat="1" ht="12.75">
      <c r="A7" s="44" t="str">
        <f>Quantities!AB22</f>
        <v>Length:  12945 Feet or 2.45 Mile(s)</v>
      </c>
      <c r="B7" s="46"/>
      <c r="C7" s="44"/>
      <c r="D7" s="47"/>
      <c r="F7" s="48"/>
      <c r="G7" s="48"/>
    </row>
    <row r="8" spans="1:7" s="38" customFormat="1" ht="12.75">
      <c r="A8" s="44" t="str">
        <f>Quantities!AB23</f>
        <v>Width:  19 Feet     (Approx. 27490 S.Y. including radius and driveway work)</v>
      </c>
      <c r="B8" s="44"/>
      <c r="C8" s="46"/>
      <c r="D8" s="49"/>
      <c r="F8" s="48"/>
      <c r="G8" s="48"/>
    </row>
    <row r="9" spans="1:7" s="38" customFormat="1" ht="12.75">
      <c r="A9" s="44" t="str">
        <f>Quantities!AB24</f>
        <v>Type: ODOT Spec 823 </v>
      </c>
      <c r="B9" s="50"/>
      <c r="C9" s="50"/>
      <c r="D9" s="50"/>
      <c r="F9" s="48"/>
      <c r="G9" s="48"/>
    </row>
    <row r="10" spans="1:7" s="38" customFormat="1" ht="12.75">
      <c r="A10" s="50"/>
      <c r="B10" s="44"/>
      <c r="C10" s="50"/>
      <c r="D10" s="50"/>
      <c r="F10" s="51"/>
      <c r="G10" s="51"/>
    </row>
    <row r="11" spans="1:7" s="38" customFormat="1" ht="12.75">
      <c r="A11" s="52" t="s">
        <v>1</v>
      </c>
      <c r="B11" s="52" t="s">
        <v>2</v>
      </c>
      <c r="C11" s="52" t="s">
        <v>36</v>
      </c>
      <c r="D11" s="52" t="s">
        <v>3</v>
      </c>
      <c r="E11" s="53" t="s">
        <v>4</v>
      </c>
      <c r="F11" s="54" t="s">
        <v>5</v>
      </c>
      <c r="G11" s="54" t="s">
        <v>6</v>
      </c>
    </row>
    <row r="12" spans="1:7" s="58" customFormat="1" ht="12.75">
      <c r="A12" s="55">
        <v>1</v>
      </c>
      <c r="B12" s="56">
        <f>LOOKUP($A12,Quantities!$T5:$T20,Quantities!AE5:AE20)</f>
        <v>407</v>
      </c>
      <c r="C12" s="56">
        <f>LOOKUP($A12,Quantities!$T5:$T20,Quantities!AF5:AF20)</f>
        <v>1375</v>
      </c>
      <c r="D12" s="56" t="str">
        <f>LOOKUP($A12,Quantities!$T5:$T20,Quantities!AG5:AG20)</f>
        <v>Gal</v>
      </c>
      <c r="E12" s="56" t="str">
        <f>LOOKUP($A12,Quantities!$T5:$T20,Quantities!AR5:AR20)</f>
        <v>Bituminous Tack Coat applied at 0.05 gallons per square yard</v>
      </c>
      <c r="F12" s="57">
        <f>LOOKUP($A12,Quantities!$T5:$T20,Quantities!AQ5:AQ20)</f>
        <v>2.1</v>
      </c>
      <c r="G12" s="57">
        <f>IF(C12="",0,F12*C12)</f>
        <v>2887.5</v>
      </c>
    </row>
    <row r="13" spans="1:7" s="58" customFormat="1" ht="25.5">
      <c r="A13" s="55">
        <f>A12+1</f>
        <v>2</v>
      </c>
      <c r="B13" s="56">
        <f>LOOKUP($A13,Quantities!$T5:$T20,Quantities!AE5:AE20)</f>
        <v>823</v>
      </c>
      <c r="C13" s="56">
        <f>LOOKUP($A13,Quantities!$T5:$T20,Quantities!AF5:AF20)</f>
        <v>1146</v>
      </c>
      <c r="D13" s="56" t="str">
        <f>LOOKUP($A13,Quantities!$T5:$T20,Quantities!AG5:AG20)</f>
        <v>C.Y.</v>
      </c>
      <c r="E13" s="56" t="str">
        <f>LOOKUP($A13,Quantities!$T5:$T20,Quantities!AR5:AR20)</f>
        <v>Asphalt concrete surface course PG 64-22, Type 1 (823) applied, spread and compacted at the average depth of 1.5 inches</v>
      </c>
      <c r="F13" s="57">
        <f>LOOKUP($A13,Quantities!$T5:$T20,Quantities!AQ5:AQ20)</f>
        <v>185</v>
      </c>
      <c r="G13" s="57">
        <f>IF(C13="",0,F13*C13)</f>
        <v>212010</v>
      </c>
    </row>
    <row r="14" spans="1:7" s="58" customFormat="1" ht="12.75">
      <c r="A14" s="55">
        <f>A13+1</f>
        <v>3</v>
      </c>
      <c r="B14" s="56">
        <f>LOOKUP($A14,Quantities!$T5:$T20,Quantities!AE5:AE20)</f>
        <v>254</v>
      </c>
      <c r="C14" s="56">
        <f>LOOKUP($A14,Quantities!$T5:$T20,Quantities!AF5:AF20)</f>
        <v>245</v>
      </c>
      <c r="D14" s="56" t="str">
        <f>LOOKUP($A14,Quantities!$T5:$T20,Quantities!AG5:AG20)</f>
        <v>S.Y.</v>
      </c>
      <c r="E14" s="56" t="str">
        <f>LOOKUP($A14,Quantities!$T5:$T20,Quantities!AR5:AR20)</f>
        <v>Pavement Planing (20' length including radius)</v>
      </c>
      <c r="F14" s="57">
        <f>LOOKUP($A14,Quantities!$T5:$T20,Quantities!AQ5:AQ20)</f>
        <v>12</v>
      </c>
      <c r="G14" s="57">
        <f aca="true" t="shared" si="0" ref="G14:G27">IF(C14="",0,F14*C14)</f>
        <v>2940</v>
      </c>
    </row>
    <row r="15" spans="1:7" s="59" customFormat="1" ht="12.75">
      <c r="A15" s="55">
        <f aca="true" t="shared" si="1" ref="A15:A27">A14+1</f>
        <v>4</v>
      </c>
      <c r="B15" s="56">
        <f>LOOKUP($A15,Quantities!$T5:$T20,Quantities!AE5:AE20)</f>
        <v>614</v>
      </c>
      <c r="C15" s="56">
        <f>LOOKUP($A15,Quantities!$T5:$T20,Quantities!AF5:AF20)</f>
        <v>1</v>
      </c>
      <c r="D15" s="56" t="str">
        <f>LOOKUP($A15,Quantities!$T5:$T20,Quantities!AG5:AG20)</f>
        <v>L.S.</v>
      </c>
      <c r="E15" s="56" t="str">
        <f>LOOKUP($A15,Quantities!$T5:$T20,Quantities!AR5:AR20)</f>
        <v>Maintaining Traffic</v>
      </c>
      <c r="F15" s="57">
        <f>LOOKUP($A15,Quantities!$T5:$T20,Quantities!AQ5:AQ20)</f>
        <v>3000</v>
      </c>
      <c r="G15" s="57">
        <f t="shared" si="0"/>
        <v>3000</v>
      </c>
    </row>
    <row r="16" spans="1:7" s="58" customFormat="1" ht="12.75">
      <c r="A16" s="55">
        <f t="shared" si="1"/>
        <v>5</v>
      </c>
      <c r="B16" s="56">
        <f>LOOKUP($A16,Quantities!$T5:$T20,Quantities!AE5:AE20)</f>
        <v>624</v>
      </c>
      <c r="C16" s="56">
        <f>LOOKUP($A16,Quantities!$T5:$T20,Quantities!AF5:AF20)</f>
        <v>1</v>
      </c>
      <c r="D16" s="56" t="str">
        <f>LOOKUP($A16,Quantities!$T5:$T20,Quantities!AG5:AG20)</f>
        <v>L.S.</v>
      </c>
      <c r="E16" s="56" t="str">
        <f>LOOKUP($A16,Quantities!$T5:$T20,Quantities!AR5:AR20)</f>
        <v>Mobilization</v>
      </c>
      <c r="F16" s="57">
        <f>LOOKUP($A16,Quantities!$T5:$T20,Quantities!AQ5:AQ20)</f>
        <v>1500</v>
      </c>
      <c r="G16" s="57">
        <f t="shared" si="0"/>
        <v>1500</v>
      </c>
    </row>
    <row r="17" spans="1:7" s="58" customFormat="1" ht="12.75">
      <c r="A17" s="55">
        <f t="shared" si="1"/>
        <v>6</v>
      </c>
      <c r="B17" s="56">
        <f>LOOKUP($A17,Quantities!$T5:$T20,Quantities!AE5:AE20)</f>
        <v>103.05</v>
      </c>
      <c r="C17" s="56">
        <f>LOOKUP($A17,Quantities!$T5:$T20,Quantities!AF5:AF20)</f>
        <v>1</v>
      </c>
      <c r="D17" s="56" t="str">
        <f>LOOKUP($A17,Quantities!$T5:$T20,Quantities!AG5:AG20)</f>
        <v>L.S.</v>
      </c>
      <c r="E17" s="56" t="str">
        <f>LOOKUP($A17,Quantities!$T5:$T20,Quantities!AR5:AR20)</f>
        <v>Contract Performance &amp; Payment Bond</v>
      </c>
      <c r="F17" s="57">
        <f>LOOKUP($A17,Quantities!$T5:$T20,Quantities!AQ5:AQ20)</f>
        <v>1202.5</v>
      </c>
      <c r="G17" s="57">
        <f t="shared" si="0"/>
        <v>1202.5</v>
      </c>
    </row>
    <row r="18" spans="1:7" s="58" customFormat="1" ht="12.75" hidden="1">
      <c r="A18" s="55">
        <f t="shared" si="1"/>
        <v>7</v>
      </c>
      <c r="B18" s="56">
        <f>LOOKUP($A18,Quantities!$T5:$T20,Quantities!AE5:AE20)</f>
      </c>
      <c r="C18" s="56">
        <f>LOOKUP($A18,Quantities!$T5:$T20,Quantities!AF5:AF20)</f>
      </c>
      <c r="D18" s="56">
        <f>LOOKUP($A18,Quantities!$T5:$T20,Quantities!AG5:AG20)</f>
      </c>
      <c r="E18" s="56">
        <f>LOOKUP($A18,Quantities!$T5:$T20,Quantities!AR5:AR20)</f>
      </c>
      <c r="F18" s="57">
        <f>LOOKUP($A18,Quantities!$T5:$T20,Quantities!AQ5:AQ20)</f>
        <v>0</v>
      </c>
      <c r="G18" s="57">
        <f t="shared" si="0"/>
        <v>0</v>
      </c>
    </row>
    <row r="19" spans="1:7" s="58" customFormat="1" ht="12.75" hidden="1">
      <c r="A19" s="55">
        <f t="shared" si="1"/>
        <v>8</v>
      </c>
      <c r="B19" s="56">
        <f>LOOKUP($A19,Quantities!$T5:$T20,Quantities!AE5:AE20)</f>
      </c>
      <c r="C19" s="56">
        <f>LOOKUP($A19,Quantities!$T5:$T20,Quantities!AF5:AF20)</f>
      </c>
      <c r="D19" s="56">
        <f>LOOKUP($A19,Quantities!$T5:$T20,Quantities!AG5:AG20)</f>
      </c>
      <c r="E19" s="56">
        <f>LOOKUP($A19,Quantities!$T5:$T20,Quantities!AR5:AR20)</f>
      </c>
      <c r="F19" s="57">
        <f>LOOKUP($A19,Quantities!$T5:$T20,Quantities!AQ5:AQ20)</f>
        <v>0</v>
      </c>
      <c r="G19" s="57">
        <f t="shared" si="0"/>
        <v>0</v>
      </c>
    </row>
    <row r="20" spans="1:7" s="58" customFormat="1" ht="12.75" hidden="1">
      <c r="A20" s="55">
        <f t="shared" si="1"/>
        <v>9</v>
      </c>
      <c r="B20" s="56">
        <f>LOOKUP($A20,Quantities!$T5:$T20,Quantities!AE5:AE20)</f>
      </c>
      <c r="C20" s="56">
        <f>LOOKUP($A20,Quantities!$T5:$T20,Quantities!AF5:AF20)</f>
      </c>
      <c r="D20" s="56">
        <f>LOOKUP($A20,Quantities!$T5:$T20,Quantities!AG5:AG20)</f>
      </c>
      <c r="E20" s="56">
        <f>LOOKUP($A20,Quantities!$T5:$T20,Quantities!AR5:AR20)</f>
      </c>
      <c r="F20" s="57">
        <f>LOOKUP($A20,Quantities!$T5:$T20,Quantities!AQ5:AQ20)</f>
        <v>0</v>
      </c>
      <c r="G20" s="57">
        <f t="shared" si="0"/>
        <v>0</v>
      </c>
    </row>
    <row r="21" spans="1:7" s="58" customFormat="1" ht="12.75" hidden="1">
      <c r="A21" s="55">
        <f t="shared" si="1"/>
        <v>10</v>
      </c>
      <c r="B21" s="56">
        <f>LOOKUP($A21,Quantities!$T5:$T20,Quantities!AE5:AE20)</f>
      </c>
      <c r="C21" s="56">
        <f>LOOKUP($A21,Quantities!$T5:$T20,Quantities!AF5:AF20)</f>
      </c>
      <c r="D21" s="56">
        <f>LOOKUP($A21,Quantities!$T5:$T20,Quantities!AG5:AG20)</f>
      </c>
      <c r="E21" s="56">
        <f>LOOKUP($A21,Quantities!$T5:$T20,Quantities!AR5:AR20)</f>
      </c>
      <c r="F21" s="57">
        <f>LOOKUP($A21,Quantities!$T5:$T20,Quantities!AQ5:AQ20)</f>
        <v>0</v>
      </c>
      <c r="G21" s="57">
        <f t="shared" si="0"/>
        <v>0</v>
      </c>
    </row>
    <row r="22" spans="1:7" s="58" customFormat="1" ht="12.75" hidden="1">
      <c r="A22" s="55">
        <f t="shared" si="1"/>
        <v>11</v>
      </c>
      <c r="B22" s="56">
        <f>LOOKUP($A22,Quantities!$T5:$T20,Quantities!AE5:AE20)</f>
      </c>
      <c r="C22" s="56">
        <f>LOOKUP($A22,Quantities!$T5:$T20,Quantities!AF5:AF20)</f>
      </c>
      <c r="D22" s="56">
        <f>LOOKUP($A22,Quantities!$T5:$T20,Quantities!AG5:AG20)</f>
      </c>
      <c r="E22" s="56">
        <f>LOOKUP($A22,Quantities!$T5:$T20,Quantities!AR5:AR20)</f>
      </c>
      <c r="F22" s="57">
        <f>LOOKUP($A22,Quantities!$T5:$T20,Quantities!AQ5:AQ20)</f>
        <v>0</v>
      </c>
      <c r="G22" s="57">
        <f t="shared" si="0"/>
        <v>0</v>
      </c>
    </row>
    <row r="23" spans="1:7" s="58" customFormat="1" ht="12.75" hidden="1">
      <c r="A23" s="55">
        <f t="shared" si="1"/>
        <v>12</v>
      </c>
      <c r="B23" s="56">
        <f>LOOKUP($A23,Quantities!$T5:$T20,Quantities!AE5:AE20)</f>
      </c>
      <c r="C23" s="56">
        <f>LOOKUP($A23,Quantities!$T5:$T20,Quantities!AF5:AF20)</f>
      </c>
      <c r="D23" s="56">
        <f>LOOKUP($A23,Quantities!$T5:$T20,Quantities!AG5:AG20)</f>
      </c>
      <c r="E23" s="56">
        <f>LOOKUP($A23,Quantities!$T5:$T20,Quantities!AR5:AR20)</f>
      </c>
      <c r="F23" s="57">
        <f>LOOKUP($A23,Quantities!$T5:$T20,Quantities!AQ5:AQ20)</f>
        <v>0</v>
      </c>
      <c r="G23" s="57">
        <f t="shared" si="0"/>
        <v>0</v>
      </c>
    </row>
    <row r="24" spans="1:7" s="58" customFormat="1" ht="12.75" hidden="1">
      <c r="A24" s="55">
        <f t="shared" si="1"/>
        <v>13</v>
      </c>
      <c r="B24" s="56">
        <f>LOOKUP($A24,Quantities!$T5:$T20,Quantities!AE5:AE20)</f>
      </c>
      <c r="C24" s="56">
        <f>LOOKUP($A24,Quantities!$T5:$T20,Quantities!AF5:AF20)</f>
      </c>
      <c r="D24" s="56">
        <f>LOOKUP($A24,Quantities!$T5:$T20,Quantities!AG5:AG20)</f>
      </c>
      <c r="E24" s="56">
        <f>LOOKUP($A24,Quantities!$T5:$T20,Quantities!AR5:AR20)</f>
      </c>
      <c r="F24" s="57">
        <f>LOOKUP($A24,Quantities!$T5:$T20,Quantities!AQ5:AQ20)</f>
        <v>0</v>
      </c>
      <c r="G24" s="57">
        <f t="shared" si="0"/>
        <v>0</v>
      </c>
    </row>
    <row r="25" spans="1:7" s="58" customFormat="1" ht="12.75" hidden="1">
      <c r="A25" s="55">
        <f t="shared" si="1"/>
        <v>14</v>
      </c>
      <c r="B25" s="56">
        <f>LOOKUP($A25,Quantities!$T5:$T20,Quantities!AE5:AE20)</f>
      </c>
      <c r="C25" s="56">
        <f>LOOKUP($A25,Quantities!$T5:$T20,Quantities!AF5:AF20)</f>
      </c>
      <c r="D25" s="56">
        <f>LOOKUP($A25,Quantities!$T5:$T20,Quantities!AG5:AG20)</f>
      </c>
      <c r="E25" s="56">
        <f>LOOKUP($A25,Quantities!$T5:$T20,Quantities!AR5:AR20)</f>
      </c>
      <c r="F25" s="57">
        <f>LOOKUP($A25,Quantities!$T5:$T20,Quantities!AQ5:AQ20)</f>
        <v>0</v>
      </c>
      <c r="G25" s="57">
        <f t="shared" si="0"/>
        <v>0</v>
      </c>
    </row>
    <row r="26" spans="1:7" s="59" customFormat="1" ht="12.75" hidden="1">
      <c r="A26" s="55">
        <f t="shared" si="1"/>
        <v>15</v>
      </c>
      <c r="B26" s="56">
        <f>LOOKUP($A26,Quantities!$T5:$T20,Quantities!AE5:AE20)</f>
      </c>
      <c r="C26" s="56">
        <f>LOOKUP($A26,Quantities!$T5:$T20,Quantities!AF5:AF20)</f>
      </c>
      <c r="D26" s="56">
        <f>LOOKUP($A26,Quantities!$T5:$T20,Quantities!AG5:AG20)</f>
      </c>
      <c r="E26" s="56">
        <f>LOOKUP($A26,Quantities!$T5:$T20,Quantities!AR5:AR20)</f>
      </c>
      <c r="F26" s="57">
        <f>LOOKUP($A26,Quantities!$T5:$T20,Quantities!AQ5:AQ20)</f>
        <v>0</v>
      </c>
      <c r="G26" s="57">
        <f t="shared" si="0"/>
        <v>0</v>
      </c>
    </row>
    <row r="27" spans="1:7" s="59" customFormat="1" ht="12.75" hidden="1">
      <c r="A27" s="55">
        <f t="shared" si="1"/>
        <v>16</v>
      </c>
      <c r="B27" s="56">
        <f>LOOKUP($A27,Quantities!$T5:$T20,Quantities!AE5:AE20)</f>
      </c>
      <c r="C27" s="56">
        <f>LOOKUP($A27,Quantities!$T5:$T20,Quantities!AF5:AF20)</f>
      </c>
      <c r="D27" s="56">
        <f>LOOKUP($A27,Quantities!$T5:$T20,Quantities!AG5:AG20)</f>
      </c>
      <c r="E27" s="56">
        <f>LOOKUP($A27,Quantities!$T5:$T20,Quantities!AR5:AR20)</f>
      </c>
      <c r="F27" s="57">
        <f>LOOKUP($A27,Quantities!$T5:$T20,Quantities!AQ5:AQ20)</f>
        <v>0</v>
      </c>
      <c r="G27" s="57">
        <f t="shared" si="0"/>
        <v>0</v>
      </c>
    </row>
    <row r="28" spans="1:8" ht="12.75">
      <c r="A28" s="50"/>
      <c r="E28" s="60" t="s">
        <v>129</v>
      </c>
      <c r="F28" s="61"/>
      <c r="G28" s="62">
        <f>SUM(G12:G27)</f>
        <v>223540</v>
      </c>
      <c r="H28" s="63">
        <f>G28</f>
        <v>223540</v>
      </c>
    </row>
    <row r="32" spans="1:7" ht="12.75">
      <c r="A32" s="165" t="s">
        <v>13</v>
      </c>
      <c r="B32" s="165"/>
      <c r="C32" s="165"/>
      <c r="D32" s="165"/>
      <c r="E32" s="165"/>
      <c r="F32" s="165"/>
      <c r="G32" s="165"/>
    </row>
    <row r="33" spans="1:7" s="38" customFormat="1" ht="12.75">
      <c r="A33" s="159" t="s">
        <v>0</v>
      </c>
      <c r="B33" s="160"/>
      <c r="C33" s="160"/>
      <c r="D33" s="160"/>
      <c r="E33" s="160"/>
      <c r="F33" s="160"/>
      <c r="G33" s="160"/>
    </row>
    <row r="34" spans="1:7" s="38" customFormat="1" ht="12.75">
      <c r="A34" s="159" t="str">
        <f>A3</f>
        <v>HC Engineer 2022 Road Improvement Project</v>
      </c>
      <c r="B34" s="166"/>
      <c r="C34" s="166"/>
      <c r="D34" s="166"/>
      <c r="E34" s="166"/>
      <c r="F34" s="166"/>
      <c r="G34" s="166"/>
    </row>
    <row r="35" spans="1:7" s="38" customFormat="1" ht="12" customHeight="1">
      <c r="A35" s="167" t="str">
        <f>A4</f>
        <v>12.16.21</v>
      </c>
      <c r="B35" s="160"/>
      <c r="C35" s="160"/>
      <c r="D35" s="160"/>
      <c r="E35" s="160"/>
      <c r="F35" s="160"/>
      <c r="G35" s="160"/>
    </row>
    <row r="36" ht="11.25" customHeight="1"/>
    <row r="37" spans="1:7" s="44" customFormat="1" ht="12.75">
      <c r="A37" s="43" t="str">
        <f>Quantities!C35</f>
        <v>Road Z b/ Road 14- Road M3</v>
      </c>
      <c r="F37" s="45"/>
      <c r="G37" s="45"/>
    </row>
    <row r="38" spans="1:7" s="38" customFormat="1" ht="12.75">
      <c r="A38" s="44" t="str">
        <f>Quantities!AB53</f>
        <v>Length:  9900 Feet or 1.88 Mile(s)</v>
      </c>
      <c r="B38" s="46"/>
      <c r="C38" s="44"/>
      <c r="D38" s="47"/>
      <c r="F38" s="48"/>
      <c r="G38" s="48"/>
    </row>
    <row r="39" spans="1:7" s="38" customFormat="1" ht="12.75">
      <c r="A39" s="44" t="str">
        <f>Quantities!AB54</f>
        <v>Width:  19 Feet     (Approx. 21020 S.Y. including radius and driveway work)</v>
      </c>
      <c r="B39" s="44"/>
      <c r="C39" s="46"/>
      <c r="D39" s="49"/>
      <c r="F39" s="48"/>
      <c r="G39" s="48"/>
    </row>
    <row r="40" spans="1:7" s="38" customFormat="1" ht="12.75">
      <c r="A40" s="44" t="str">
        <f>Quantities!AB55</f>
        <v>Type: ODOT Spec 823 </v>
      </c>
      <c r="B40" s="50"/>
      <c r="C40" s="50"/>
      <c r="D40" s="50"/>
      <c r="F40" s="48"/>
      <c r="G40" s="48"/>
    </row>
    <row r="41" spans="1:7" s="38" customFormat="1" ht="12.75">
      <c r="A41" s="50"/>
      <c r="B41" s="44"/>
      <c r="C41" s="50"/>
      <c r="D41" s="50"/>
      <c r="F41" s="51"/>
      <c r="G41" s="51"/>
    </row>
    <row r="42" spans="1:7" s="38" customFormat="1" ht="12.75">
      <c r="A42" s="52" t="s">
        <v>1</v>
      </c>
      <c r="B42" s="52" t="s">
        <v>2</v>
      </c>
      <c r="C42" s="52" t="s">
        <v>36</v>
      </c>
      <c r="D42" s="52" t="s">
        <v>3</v>
      </c>
      <c r="E42" s="53" t="s">
        <v>4</v>
      </c>
      <c r="F42" s="54" t="s">
        <v>5</v>
      </c>
      <c r="G42" s="54" t="s">
        <v>6</v>
      </c>
    </row>
    <row r="43" spans="1:7" s="58" customFormat="1" ht="12.75">
      <c r="A43" s="55">
        <f>A12</f>
        <v>1</v>
      </c>
      <c r="B43" s="56">
        <f>LOOKUP($A43,Quantities!$T36:$T51,Quantities!AE36:AE51)</f>
        <v>407</v>
      </c>
      <c r="C43" s="56">
        <f>LOOKUP($A43,Quantities!$T36:$T51,Quantities!AF36:AF51)</f>
        <v>1050</v>
      </c>
      <c r="D43" s="56" t="str">
        <f>LOOKUP($A43,Quantities!$T36:$T51,Quantities!AG36:AG51)</f>
        <v>Gal</v>
      </c>
      <c r="E43" s="56" t="str">
        <f>LOOKUP($A43,Quantities!$T36:$T51,Quantities!AR36:AR51)</f>
        <v>Bituminous Tack Coat applied at 0.05 gallons per square yard</v>
      </c>
      <c r="F43" s="57">
        <f>LOOKUP($A43,Quantities!$T36:$T51,Quantities!AQ36:AQ51)</f>
        <v>2.1</v>
      </c>
      <c r="G43" s="57">
        <f>IF(C43="",0,F43*C43)</f>
        <v>2205</v>
      </c>
    </row>
    <row r="44" spans="1:7" s="58" customFormat="1" ht="25.5">
      <c r="A44" s="55">
        <f>A43+1</f>
        <v>2</v>
      </c>
      <c r="B44" s="56">
        <f>LOOKUP($A44,Quantities!$T36:$T51,Quantities!AE36:AE51)</f>
        <v>823</v>
      </c>
      <c r="C44" s="56">
        <f>LOOKUP($A44,Quantities!$T36:$T51,Quantities!AF36:AF51)</f>
        <v>876</v>
      </c>
      <c r="D44" s="56" t="str">
        <f>LOOKUP($A44,Quantities!$T36:$T51,Quantities!AG36:AG51)</f>
        <v>C.Y.</v>
      </c>
      <c r="E44" s="56" t="str">
        <f>LOOKUP($A44,Quantities!$T36:$T51,Quantities!AR36:AR51)</f>
        <v>Asphalt concrete surface course PG 64-22, Type 1 (823) applied, spread and compacted at the average depth of 1.5 inches</v>
      </c>
      <c r="F44" s="57">
        <f>LOOKUP($A44,Quantities!$T36:$T51,Quantities!AQ36:AQ51)</f>
        <v>185</v>
      </c>
      <c r="G44" s="57">
        <f>IF(C44="",0,F44*C44)</f>
        <v>162060</v>
      </c>
    </row>
    <row r="45" spans="1:7" s="58" customFormat="1" ht="12.75">
      <c r="A45" s="55">
        <f>A44+1</f>
        <v>3</v>
      </c>
      <c r="B45" s="56">
        <f>LOOKUP($A45,Quantities!$T36:$T51,Quantities!AE36:AE51)</f>
        <v>254</v>
      </c>
      <c r="C45" s="56">
        <f>LOOKUP($A45,Quantities!$T36:$T51,Quantities!AF36:AF51)</f>
        <v>80</v>
      </c>
      <c r="D45" s="56" t="str">
        <f>LOOKUP($A45,Quantities!$T36:$T51,Quantities!AG36:AG51)</f>
        <v>S.Y.</v>
      </c>
      <c r="E45" s="56" t="str">
        <f>LOOKUP($A45,Quantities!$T36:$T51,Quantities!AR36:AR51)</f>
        <v>Pavement Planing (20' length including radius)</v>
      </c>
      <c r="F45" s="57">
        <f>LOOKUP($A45,Quantities!$T36:$T51,Quantities!AQ36:AQ51)</f>
        <v>12</v>
      </c>
      <c r="G45" s="57">
        <f aca="true" t="shared" si="2" ref="G45:G58">IF(C45="",0,F45*C45)</f>
        <v>960</v>
      </c>
    </row>
    <row r="46" spans="1:7" s="59" customFormat="1" ht="12.75">
      <c r="A46" s="55">
        <f aca="true" t="shared" si="3" ref="A46:A58">A45+1</f>
        <v>4</v>
      </c>
      <c r="B46" s="56">
        <f>LOOKUP($A46,Quantities!$T36:$T51,Quantities!AE36:AE51)</f>
        <v>614</v>
      </c>
      <c r="C46" s="56">
        <f>LOOKUP($A46,Quantities!$T36:$T51,Quantities!AF36:AF51)</f>
        <v>1</v>
      </c>
      <c r="D46" s="56" t="str">
        <f>LOOKUP($A46,Quantities!$T36:$T51,Quantities!AG36:AG51)</f>
        <v>L.S.</v>
      </c>
      <c r="E46" s="56" t="str">
        <f>LOOKUP($A46,Quantities!$T36:$T51,Quantities!AR36:AR51)</f>
        <v>Maintaining Traffic</v>
      </c>
      <c r="F46" s="57">
        <f>LOOKUP($A46,Quantities!$T36:$T51,Quantities!AQ36:AQ51)</f>
        <v>3000</v>
      </c>
      <c r="G46" s="57">
        <f t="shared" si="2"/>
        <v>3000</v>
      </c>
    </row>
    <row r="47" spans="1:7" s="58" customFormat="1" ht="12.75">
      <c r="A47" s="55">
        <f t="shared" si="3"/>
        <v>5</v>
      </c>
      <c r="B47" s="56">
        <f>LOOKUP($A47,Quantities!$T36:$T51,Quantities!AE36:AE51)</f>
        <v>624</v>
      </c>
      <c r="C47" s="56">
        <f>LOOKUP($A47,Quantities!$T36:$T51,Quantities!AF36:AF51)</f>
        <v>1</v>
      </c>
      <c r="D47" s="56" t="str">
        <f>LOOKUP($A47,Quantities!$T36:$T51,Quantities!AG36:AG51)</f>
        <v>L.S.</v>
      </c>
      <c r="E47" s="56" t="str">
        <f>LOOKUP($A47,Quantities!$T36:$T51,Quantities!AR36:AR51)</f>
        <v>Mobilization</v>
      </c>
      <c r="F47" s="57">
        <f>LOOKUP($A47,Quantities!$T36:$T51,Quantities!AQ36:AQ51)</f>
        <v>1500</v>
      </c>
      <c r="G47" s="57">
        <f t="shared" si="2"/>
        <v>1500</v>
      </c>
    </row>
    <row r="48" spans="1:7" s="58" customFormat="1" ht="12.75">
      <c r="A48" s="55">
        <f t="shared" si="3"/>
        <v>6</v>
      </c>
      <c r="B48" s="56">
        <f>LOOKUP($A48,Quantities!$T36:$T51,Quantities!AE36:AE51)</f>
        <v>103.05</v>
      </c>
      <c r="C48" s="56">
        <f>LOOKUP($A48,Quantities!$T36:$T51,Quantities!AF36:AF51)</f>
        <v>1</v>
      </c>
      <c r="D48" s="56" t="str">
        <f>LOOKUP($A48,Quantities!$T36:$T51,Quantities!AG36:AG51)</f>
        <v>L.S.</v>
      </c>
      <c r="E48" s="56" t="str">
        <f>LOOKUP($A48,Quantities!$T36:$T51,Quantities!AR36:AR51)</f>
        <v>Contract Performance &amp; Payment Bond</v>
      </c>
      <c r="F48" s="57">
        <f>LOOKUP($A48,Quantities!$T36:$T51,Quantities!AQ36:AQ51)</f>
        <v>1000</v>
      </c>
      <c r="G48" s="57">
        <f t="shared" si="2"/>
        <v>1000</v>
      </c>
    </row>
    <row r="49" spans="1:7" s="58" customFormat="1" ht="12.75" hidden="1">
      <c r="A49" s="55">
        <f t="shared" si="3"/>
        <v>7</v>
      </c>
      <c r="B49" s="56">
        <f>LOOKUP($A49,Quantities!$T36:$T51,Quantities!AE36:AE51)</f>
      </c>
      <c r="C49" s="56"/>
      <c r="D49" s="56"/>
      <c r="E49" s="56"/>
      <c r="F49" s="57">
        <f>LOOKUP($A49,Quantities!$T36:$T51,Quantities!AQ36:AQ51)</f>
        <v>0</v>
      </c>
      <c r="G49" s="57">
        <f t="shared" si="2"/>
        <v>0</v>
      </c>
    </row>
    <row r="50" spans="1:7" s="58" customFormat="1" ht="12.75" hidden="1">
      <c r="A50" s="55">
        <f t="shared" si="3"/>
        <v>8</v>
      </c>
      <c r="B50" s="56">
        <f>LOOKUP($A50,Quantities!$T36:$T51,Quantities!AE36:AE51)</f>
      </c>
      <c r="C50" s="56"/>
      <c r="D50" s="56"/>
      <c r="E50" s="56"/>
      <c r="F50" s="57">
        <f>LOOKUP($A50,Quantities!$T36:$T51,Quantities!AQ36:AQ51)</f>
        <v>0</v>
      </c>
      <c r="G50" s="57">
        <f t="shared" si="2"/>
        <v>0</v>
      </c>
    </row>
    <row r="51" spans="1:7" s="58" customFormat="1" ht="12.75" hidden="1">
      <c r="A51" s="55">
        <f t="shared" si="3"/>
        <v>9</v>
      </c>
      <c r="B51" s="56">
        <f>LOOKUP($A51,Quantities!$T36:$T51,Quantities!AE36:AE51)</f>
      </c>
      <c r="C51" s="56">
        <f>LOOKUP($A51,Quantities!$T36:$T51,Quantities!AF36:AF51)</f>
      </c>
      <c r="D51" s="56">
        <f>LOOKUP($A51,Quantities!$T36:$T51,Quantities!AG36:AG51)</f>
      </c>
      <c r="E51" s="56">
        <f>LOOKUP($A51,Quantities!$T36:$T51,Quantities!AR36:AR51)</f>
      </c>
      <c r="F51" s="57">
        <f>LOOKUP($A51,Quantities!$T36:$T51,Quantities!AQ36:AQ51)</f>
        <v>0</v>
      </c>
      <c r="G51" s="57">
        <f t="shared" si="2"/>
        <v>0</v>
      </c>
    </row>
    <row r="52" spans="1:7" s="58" customFormat="1" ht="12.75" hidden="1">
      <c r="A52" s="55">
        <f t="shared" si="3"/>
        <v>10</v>
      </c>
      <c r="B52" s="56">
        <f>LOOKUP($A52,Quantities!$T36:$T51,Quantities!AE36:AE51)</f>
      </c>
      <c r="C52" s="56">
        <f>LOOKUP($A52,Quantities!$T36:$T51,Quantities!AF36:AF51)</f>
      </c>
      <c r="D52" s="56">
        <f>LOOKUP($A52,Quantities!$T36:$T51,Quantities!AG36:AG51)</f>
      </c>
      <c r="E52" s="56">
        <f>LOOKUP($A52,Quantities!$T36:$T51,Quantities!AR36:AR51)</f>
      </c>
      <c r="F52" s="57">
        <f>LOOKUP($A52,Quantities!$T36:$T51,Quantities!AQ36:AQ51)</f>
        <v>0</v>
      </c>
      <c r="G52" s="57">
        <f t="shared" si="2"/>
        <v>0</v>
      </c>
    </row>
    <row r="53" spans="1:7" s="58" customFormat="1" ht="12.75" hidden="1">
      <c r="A53" s="55">
        <f t="shared" si="3"/>
        <v>11</v>
      </c>
      <c r="B53" s="56">
        <f>LOOKUP($A53,Quantities!$T36:$T51,Quantities!AE36:AE51)</f>
      </c>
      <c r="C53" s="56">
        <f>LOOKUP($A53,Quantities!$T36:$T51,Quantities!AF36:AF51)</f>
      </c>
      <c r="D53" s="56">
        <f>LOOKUP($A53,Quantities!$T36:$T51,Quantities!AG36:AG51)</f>
      </c>
      <c r="E53" s="56">
        <f>LOOKUP($A53,Quantities!$T36:$T51,Quantities!AR36:AR51)</f>
      </c>
      <c r="F53" s="57">
        <f>LOOKUP($A53,Quantities!$T36:$T51,Quantities!AQ36:AQ51)</f>
        <v>0</v>
      </c>
      <c r="G53" s="57">
        <f t="shared" si="2"/>
        <v>0</v>
      </c>
    </row>
    <row r="54" spans="1:7" s="58" customFormat="1" ht="12.75" hidden="1">
      <c r="A54" s="55">
        <f t="shared" si="3"/>
        <v>12</v>
      </c>
      <c r="B54" s="56">
        <f>LOOKUP($A54,Quantities!$T36:$T51,Quantities!AE36:AE51)</f>
      </c>
      <c r="C54" s="56">
        <f>LOOKUP($A54,Quantities!$T36:$T51,Quantities!AF36:AF51)</f>
      </c>
      <c r="D54" s="56">
        <f>LOOKUP($A54,Quantities!$T36:$T51,Quantities!AG36:AG51)</f>
      </c>
      <c r="E54" s="56">
        <f>LOOKUP($A54,Quantities!$T36:$T51,Quantities!AR36:AR51)</f>
      </c>
      <c r="F54" s="57">
        <f>LOOKUP($A54,Quantities!$T36:$T51,Quantities!AQ36:AQ51)</f>
        <v>0</v>
      </c>
      <c r="G54" s="57">
        <f t="shared" si="2"/>
        <v>0</v>
      </c>
    </row>
    <row r="55" spans="1:7" s="58" customFormat="1" ht="12.75" hidden="1">
      <c r="A55" s="55">
        <f t="shared" si="3"/>
        <v>13</v>
      </c>
      <c r="B55" s="56">
        <f>LOOKUP($A55,Quantities!$T36:$T51,Quantities!AE36:AE51)</f>
      </c>
      <c r="C55" s="56">
        <f>LOOKUP($A55,Quantities!$T36:$T51,Quantities!AF36:AF51)</f>
      </c>
      <c r="D55" s="56">
        <f>LOOKUP($A55,Quantities!$T36:$T51,Quantities!AG36:AG51)</f>
      </c>
      <c r="E55" s="56">
        <f>LOOKUP($A55,Quantities!$T36:$T51,Quantities!AR36:AR51)</f>
      </c>
      <c r="F55" s="57">
        <f>LOOKUP($A55,Quantities!$T36:$T51,Quantities!AQ36:AQ51)</f>
        <v>0</v>
      </c>
      <c r="G55" s="57">
        <f t="shared" si="2"/>
        <v>0</v>
      </c>
    </row>
    <row r="56" spans="1:7" s="58" customFormat="1" ht="12.75" hidden="1">
      <c r="A56" s="55">
        <f t="shared" si="3"/>
        <v>14</v>
      </c>
      <c r="B56" s="56">
        <f>LOOKUP($A56,Quantities!$T36:$T51,Quantities!AE36:AE51)</f>
      </c>
      <c r="C56" s="56">
        <f>LOOKUP($A56,Quantities!$T36:$T51,Quantities!AF36:AF51)</f>
      </c>
      <c r="D56" s="56">
        <f>LOOKUP($A56,Quantities!$T36:$T51,Quantities!AG36:AG51)</f>
      </c>
      <c r="E56" s="56">
        <f>LOOKUP($A56,Quantities!$T36:$T51,Quantities!AR36:AR51)</f>
      </c>
      <c r="F56" s="57">
        <f>LOOKUP($A56,Quantities!$T36:$T51,Quantities!AQ36:AQ51)</f>
        <v>0</v>
      </c>
      <c r="G56" s="57">
        <f t="shared" si="2"/>
        <v>0</v>
      </c>
    </row>
    <row r="57" spans="1:7" s="59" customFormat="1" ht="12.75" hidden="1">
      <c r="A57" s="55">
        <f t="shared" si="3"/>
        <v>15</v>
      </c>
      <c r="B57" s="56">
        <f>LOOKUP($A57,Quantities!$T36:$T51,Quantities!AE36:AE51)</f>
      </c>
      <c r="C57" s="56">
        <f>LOOKUP($A57,Quantities!$T36:$T51,Quantities!AF36:AF51)</f>
      </c>
      <c r="D57" s="56">
        <f>LOOKUP($A57,Quantities!$T36:$T51,Quantities!AG36:AG51)</f>
      </c>
      <c r="E57" s="56">
        <f>LOOKUP($A57,Quantities!$T36:$T51,Quantities!AR36:AR51)</f>
      </c>
      <c r="F57" s="57">
        <f>LOOKUP($A57,Quantities!$T36:$T51,Quantities!AQ36:AQ51)</f>
        <v>0</v>
      </c>
      <c r="G57" s="57">
        <f t="shared" si="2"/>
        <v>0</v>
      </c>
    </row>
    <row r="58" spans="1:7" s="59" customFormat="1" ht="12.75" hidden="1">
      <c r="A58" s="55">
        <f t="shared" si="3"/>
        <v>16</v>
      </c>
      <c r="B58" s="56">
        <f>LOOKUP($A58,Quantities!$T36:$T51,Quantities!AE36:AE51)</f>
      </c>
      <c r="C58" s="56">
        <f>LOOKUP($A58,Quantities!$T36:$T51,Quantities!AF36:AF51)</f>
      </c>
      <c r="D58" s="56">
        <f>LOOKUP($A58,Quantities!$T36:$T51,Quantities!AG36:AG51)</f>
      </c>
      <c r="E58" s="56">
        <f>LOOKUP($A58,Quantities!$T36:$T51,Quantities!AR36:AR51)</f>
      </c>
      <c r="F58" s="57">
        <f>LOOKUP($A58,Quantities!$T36:$T51,Quantities!AQ36:AQ51)</f>
        <v>0</v>
      </c>
      <c r="G58" s="57">
        <f t="shared" si="2"/>
        <v>0</v>
      </c>
    </row>
    <row r="59" spans="1:8" ht="12.75">
      <c r="A59" s="50"/>
      <c r="E59" s="60" t="s">
        <v>129</v>
      </c>
      <c r="F59" s="61"/>
      <c r="G59" s="62">
        <f>SUM(G43:G58)</f>
        <v>170725</v>
      </c>
      <c r="H59" s="63">
        <f>G59</f>
        <v>170725</v>
      </c>
    </row>
    <row r="63" spans="1:7" ht="12.75">
      <c r="A63" s="165" t="s">
        <v>13</v>
      </c>
      <c r="B63" s="165"/>
      <c r="C63" s="165"/>
      <c r="D63" s="165"/>
      <c r="E63" s="165"/>
      <c r="F63" s="165"/>
      <c r="G63" s="165"/>
    </row>
    <row r="64" spans="1:7" s="38" customFormat="1" ht="12.75">
      <c r="A64" s="159" t="s">
        <v>0</v>
      </c>
      <c r="B64" s="160"/>
      <c r="C64" s="160"/>
      <c r="D64" s="160"/>
      <c r="E64" s="160"/>
      <c r="F64" s="160"/>
      <c r="G64" s="160"/>
    </row>
    <row r="65" spans="1:7" s="38" customFormat="1" ht="12.75">
      <c r="A65" s="159" t="str">
        <f>A34</f>
        <v>HC Engineer 2022 Road Improvement Project</v>
      </c>
      <c r="B65" s="166"/>
      <c r="C65" s="166"/>
      <c r="D65" s="166"/>
      <c r="E65" s="166"/>
      <c r="F65" s="166"/>
      <c r="G65" s="166"/>
    </row>
    <row r="66" spans="1:7" s="38" customFormat="1" ht="12" customHeight="1">
      <c r="A66" s="167" t="str">
        <f>A35</f>
        <v>12.16.21</v>
      </c>
      <c r="B66" s="160"/>
      <c r="C66" s="160"/>
      <c r="D66" s="160"/>
      <c r="E66" s="160"/>
      <c r="F66" s="160"/>
      <c r="G66" s="160"/>
    </row>
    <row r="67" ht="11.25" customHeight="1"/>
    <row r="68" spans="1:7" s="44" customFormat="1" ht="12.75">
      <c r="A68" s="43" t="str">
        <f>Quantities!C66</f>
        <v>Road M3 b/ Road 14- Road Z</v>
      </c>
      <c r="F68" s="45"/>
      <c r="G68" s="45"/>
    </row>
    <row r="69" spans="1:7" s="38" customFormat="1" ht="12.75">
      <c r="A69" s="44" t="str">
        <f>Quantities!AB84</f>
        <v>Length:  1865 Feet or 0.35 Mile(s)</v>
      </c>
      <c r="B69" s="46"/>
      <c r="C69" s="44"/>
      <c r="D69" s="47"/>
      <c r="F69" s="48"/>
      <c r="G69" s="48"/>
    </row>
    <row r="70" spans="1:7" s="38" customFormat="1" ht="12.75">
      <c r="A70" s="44" t="str">
        <f>Quantities!AB85</f>
        <v>Width:  19 Feet     (Approx. 3975 S.Y. including radius and driveway work)</v>
      </c>
      <c r="B70" s="44"/>
      <c r="C70" s="46"/>
      <c r="D70" s="49"/>
      <c r="F70" s="48"/>
      <c r="G70" s="48"/>
    </row>
    <row r="71" spans="1:7" s="38" customFormat="1" ht="12.75">
      <c r="A71" s="44" t="str">
        <f>Quantities!AB86</f>
        <v>Type: ODOT Spec 823 </v>
      </c>
      <c r="B71" s="50"/>
      <c r="C71" s="50"/>
      <c r="D71" s="50"/>
      <c r="F71" s="48"/>
      <c r="G71" s="48"/>
    </row>
    <row r="72" spans="1:7" s="38" customFormat="1" ht="12.75">
      <c r="A72" s="50"/>
      <c r="B72" s="44"/>
      <c r="C72" s="50"/>
      <c r="D72" s="50"/>
      <c r="F72" s="51"/>
      <c r="G72" s="51"/>
    </row>
    <row r="73" spans="1:7" s="38" customFormat="1" ht="12.75">
      <c r="A73" s="52" t="s">
        <v>1</v>
      </c>
      <c r="B73" s="52" t="s">
        <v>2</v>
      </c>
      <c r="C73" s="52" t="s">
        <v>36</v>
      </c>
      <c r="D73" s="52" t="s">
        <v>3</v>
      </c>
      <c r="E73" s="53" t="s">
        <v>4</v>
      </c>
      <c r="F73" s="54" t="s">
        <v>5</v>
      </c>
      <c r="G73" s="54" t="s">
        <v>6</v>
      </c>
    </row>
    <row r="74" spans="1:7" s="58" customFormat="1" ht="12.75">
      <c r="A74" s="55">
        <f>A43</f>
        <v>1</v>
      </c>
      <c r="B74" s="56">
        <f>LOOKUP($A74,Quantities!$T67:$T82,Quantities!AE67:AE82)</f>
        <v>407</v>
      </c>
      <c r="C74" s="56">
        <f>LOOKUP($A74,Quantities!$T67:$T82,Quantities!AF67:AF82)</f>
        <v>200</v>
      </c>
      <c r="D74" s="56" t="str">
        <f>LOOKUP($A74,Quantities!$T67:$T82,Quantities!AG67:AG82)</f>
        <v>Gal</v>
      </c>
      <c r="E74" s="56" t="str">
        <f>LOOKUP($A74,Quantities!$T67:$T82,Quantities!AR67:AR82)</f>
        <v>Bituminous Tack Coat applied at 0.05 gallons per square yard</v>
      </c>
      <c r="F74" s="57">
        <f>LOOKUP($A74,Quantities!$T67:$T82,Quantities!AQ67:AQ82)</f>
        <v>2.1</v>
      </c>
      <c r="G74" s="57">
        <f aca="true" t="shared" si="4" ref="G74:G89">IF(C74="",0,F74*C74)</f>
        <v>420</v>
      </c>
    </row>
    <row r="75" spans="1:7" s="58" customFormat="1" ht="38.25">
      <c r="A75" s="55">
        <f aca="true" t="shared" si="5" ref="A75:A89">A74+1</f>
        <v>2</v>
      </c>
      <c r="B75" s="56">
        <f>LOOKUP($A75,Quantities!$T67:$T82,Quantities!AE67:AE82)</f>
        <v>823</v>
      </c>
      <c r="C75" s="56">
        <f>LOOKUP($A75,Quantities!$T67:$T82,Quantities!AF67:AF82)</f>
        <v>166</v>
      </c>
      <c r="D75" s="56" t="str">
        <f>LOOKUP($A75,Quantities!$T67:$T82,Quantities!AG67:AG82)</f>
        <v>C.Y.</v>
      </c>
      <c r="E75" s="56" t="str">
        <f>LOOKUP($A75,Quantities!$T67:$T82,Quantities!AR67:AR82)</f>
        <v>Asphalt concrete surface course PG 64-22, Type 1 (823) applied, spread and compacted at the average depth of 1.5 inches</v>
      </c>
      <c r="F75" s="57">
        <f>LOOKUP($A75,Quantities!$T67:$T82,Quantities!AQ67:AQ82)</f>
        <v>185</v>
      </c>
      <c r="G75" s="57">
        <f t="shared" si="4"/>
        <v>30710</v>
      </c>
    </row>
    <row r="76" spans="1:7" s="58" customFormat="1" ht="12.75">
      <c r="A76" s="55">
        <f t="shared" si="5"/>
        <v>3</v>
      </c>
      <c r="B76" s="56">
        <f>LOOKUP($A76,Quantities!$T67:$T82,Quantities!AE67:AE82)</f>
        <v>614</v>
      </c>
      <c r="C76" s="56">
        <f>LOOKUP($A76,Quantities!$T67:$T82,Quantities!AF67:AF82)</f>
        <v>1</v>
      </c>
      <c r="D76" s="56" t="str">
        <f>LOOKUP($A76,Quantities!$T67:$T82,Quantities!AG67:AG82)</f>
        <v>L.S.</v>
      </c>
      <c r="E76" s="56" t="str">
        <f>LOOKUP($A76,Quantities!$T67:$T82,Quantities!AR67:AR82)</f>
        <v>Maintaining Traffic</v>
      </c>
      <c r="F76" s="57">
        <f>LOOKUP($A76,Quantities!$T67:$T82,Quantities!AQ67:AQ82)</f>
        <v>3000</v>
      </c>
      <c r="G76" s="57">
        <f t="shared" si="4"/>
        <v>3000</v>
      </c>
    </row>
    <row r="77" spans="1:7" s="59" customFormat="1" ht="12.75">
      <c r="A77" s="55">
        <f t="shared" si="5"/>
        <v>4</v>
      </c>
      <c r="B77" s="56">
        <f>LOOKUP($A77,Quantities!$T67:$T82,Quantities!AE67:AE82)</f>
        <v>624</v>
      </c>
      <c r="C77" s="56">
        <f>LOOKUP($A77,Quantities!$T67:$T82,Quantities!AF67:AF82)</f>
        <v>1</v>
      </c>
      <c r="D77" s="56" t="str">
        <f>LOOKUP($A77,Quantities!$T67:$T82,Quantities!AG67:AG82)</f>
        <v>L.S.</v>
      </c>
      <c r="E77" s="56" t="str">
        <f>LOOKUP($A77,Quantities!$T67:$T82,Quantities!AR67:AR82)</f>
        <v>Mobilization</v>
      </c>
      <c r="F77" s="57">
        <f>LOOKUP($A77,Quantities!$T67:$T82,Quantities!AQ67:AQ82)</f>
        <v>1500</v>
      </c>
      <c r="G77" s="57">
        <f t="shared" si="4"/>
        <v>1500</v>
      </c>
    </row>
    <row r="78" spans="1:7" s="58" customFormat="1" ht="12.75">
      <c r="A78" s="55">
        <f t="shared" si="5"/>
        <v>5</v>
      </c>
      <c r="B78" s="56">
        <f>LOOKUP($A78,Quantities!$T67:$T82,Quantities!AE67:AE82)</f>
        <v>103.05</v>
      </c>
      <c r="C78" s="56">
        <f>LOOKUP($A78,Quantities!$T67:$T82,Quantities!AF67:AF82)</f>
        <v>1</v>
      </c>
      <c r="D78" s="56" t="str">
        <f>LOOKUP($A78,Quantities!$T67:$T82,Quantities!AG67:AG82)</f>
        <v>L.S.</v>
      </c>
      <c r="E78" s="56" t="str">
        <f>LOOKUP($A78,Quantities!$T67:$T82,Quantities!AR67:AR82)</f>
        <v>Contract Performance &amp; Payment Bond</v>
      </c>
      <c r="F78" s="57">
        <f>LOOKUP($A78,Quantities!$T67:$T82,Quantities!AQ67:AQ82)</f>
        <v>900</v>
      </c>
      <c r="G78" s="57">
        <f t="shared" si="4"/>
        <v>900</v>
      </c>
    </row>
    <row r="79" spans="1:7" s="58" customFormat="1" ht="12.75" hidden="1">
      <c r="A79" s="55">
        <f t="shared" si="5"/>
        <v>6</v>
      </c>
      <c r="B79" s="56">
        <f>LOOKUP($A79,Quantities!$T67:$T82,Quantities!AE67:AE82)</f>
      </c>
      <c r="C79" s="56">
        <f>LOOKUP($A79,Quantities!$T67:$T82,Quantities!AF67:AF82)</f>
      </c>
      <c r="D79" s="56">
        <f>LOOKUP($A79,Quantities!$T67:$T82,Quantities!AG67:AG82)</f>
      </c>
      <c r="E79" s="56">
        <f>LOOKUP($A79,Quantities!$T67:$T82,Quantities!AR67:AR82)</f>
      </c>
      <c r="F79" s="57">
        <f>LOOKUP($A79,Quantities!$T67:$T82,Quantities!AQ67:AQ82)</f>
        <v>0</v>
      </c>
      <c r="G79" s="57">
        <f t="shared" si="4"/>
        <v>0</v>
      </c>
    </row>
    <row r="80" spans="1:7" s="58" customFormat="1" ht="12.75" hidden="1">
      <c r="A80" s="55">
        <f t="shared" si="5"/>
        <v>7</v>
      </c>
      <c r="B80" s="56">
        <f>LOOKUP($A80,Quantities!$T67:$T82,Quantities!AE67:AE82)</f>
      </c>
      <c r="C80" s="56">
        <f>LOOKUP($A80,Quantities!$T67:$T82,Quantities!AF67:AF82)</f>
      </c>
      <c r="D80" s="56">
        <f>LOOKUP($A80,Quantities!$T67:$T82,Quantities!AG67:AG82)</f>
      </c>
      <c r="E80" s="56">
        <f>LOOKUP($A80,Quantities!$T67:$T82,Quantities!AR67:AR82)</f>
      </c>
      <c r="F80" s="57">
        <f>LOOKUP($A80,Quantities!$T67:$T82,Quantities!AQ67:AQ82)</f>
        <v>0</v>
      </c>
      <c r="G80" s="57">
        <f t="shared" si="4"/>
        <v>0</v>
      </c>
    </row>
    <row r="81" spans="1:7" s="58" customFormat="1" ht="12.75" hidden="1">
      <c r="A81" s="55">
        <f t="shared" si="5"/>
        <v>8</v>
      </c>
      <c r="B81" s="56">
        <f>LOOKUP($A81,Quantities!$T67:$T82,Quantities!AE67:AE82)</f>
      </c>
      <c r="C81" s="56">
        <f>LOOKUP($A81,Quantities!$T67:$T82,Quantities!AF67:AF82)</f>
      </c>
      <c r="D81" s="56">
        <f>LOOKUP($A81,Quantities!$T67:$T82,Quantities!AG67:AG82)</f>
      </c>
      <c r="E81" s="56">
        <f>LOOKUP($A81,Quantities!$T67:$T82,Quantities!AR67:AR82)</f>
      </c>
      <c r="F81" s="57">
        <f>LOOKUP($A81,Quantities!$T67:$T82,Quantities!AQ67:AQ82)</f>
        <v>0</v>
      </c>
      <c r="G81" s="57">
        <f t="shared" si="4"/>
        <v>0</v>
      </c>
    </row>
    <row r="82" spans="1:7" s="58" customFormat="1" ht="12.75" hidden="1">
      <c r="A82" s="55">
        <f t="shared" si="5"/>
        <v>9</v>
      </c>
      <c r="B82" s="56">
        <f>LOOKUP($A82,Quantities!$T67:$T82,Quantities!AE67:AE82)</f>
      </c>
      <c r="C82" s="56">
        <f>LOOKUP($A82,Quantities!$T67:$T82,Quantities!AF67:AF82)</f>
      </c>
      <c r="D82" s="56">
        <f>LOOKUP($A82,Quantities!$T67:$T82,Quantities!AG67:AG82)</f>
      </c>
      <c r="E82" s="56">
        <f>LOOKUP($A82,Quantities!$T67:$T82,Quantities!AR67:AR82)</f>
      </c>
      <c r="F82" s="57">
        <f>LOOKUP($A82,Quantities!$T67:$T82,Quantities!AQ67:AQ82)</f>
        <v>0</v>
      </c>
      <c r="G82" s="57">
        <f t="shared" si="4"/>
        <v>0</v>
      </c>
    </row>
    <row r="83" spans="1:7" s="58" customFormat="1" ht="12.75" hidden="1">
      <c r="A83" s="55">
        <f t="shared" si="5"/>
        <v>10</v>
      </c>
      <c r="B83" s="56">
        <f>LOOKUP($A83,Quantities!$T67:$T82,Quantities!AE67:AE82)</f>
      </c>
      <c r="C83" s="56">
        <f>LOOKUP($A83,Quantities!$T67:$T82,Quantities!AF67:AF82)</f>
      </c>
      <c r="D83" s="56">
        <f>LOOKUP($A83,Quantities!$T67:$T82,Quantities!AG67:AG82)</f>
      </c>
      <c r="E83" s="56">
        <f>LOOKUP($A83,Quantities!$T67:$T82,Quantities!AR67:AR82)</f>
      </c>
      <c r="F83" s="57">
        <f>LOOKUP($A83,Quantities!$T67:$T82,Quantities!AQ67:AQ82)</f>
        <v>0</v>
      </c>
      <c r="G83" s="57">
        <f t="shared" si="4"/>
        <v>0</v>
      </c>
    </row>
    <row r="84" spans="1:7" s="58" customFormat="1" ht="12.75" hidden="1">
      <c r="A84" s="55">
        <f t="shared" si="5"/>
        <v>11</v>
      </c>
      <c r="B84" s="56">
        <f>LOOKUP($A84,Quantities!$T67:$T82,Quantities!AE67:AE82)</f>
      </c>
      <c r="C84" s="56">
        <f>LOOKUP($A84,Quantities!$T67:$T82,Quantities!AF67:AF82)</f>
      </c>
      <c r="D84" s="56">
        <f>LOOKUP($A84,Quantities!$T67:$T82,Quantities!AG67:AG82)</f>
      </c>
      <c r="E84" s="56">
        <f>LOOKUP($A84,Quantities!$T67:$T82,Quantities!AR67:AR82)</f>
      </c>
      <c r="F84" s="57">
        <f>LOOKUP($A84,Quantities!$T67:$T82,Quantities!AQ67:AQ82)</f>
        <v>0</v>
      </c>
      <c r="G84" s="57">
        <f t="shared" si="4"/>
        <v>0</v>
      </c>
    </row>
    <row r="85" spans="1:7" s="58" customFormat="1" ht="12.75" hidden="1">
      <c r="A85" s="55">
        <f t="shared" si="5"/>
        <v>12</v>
      </c>
      <c r="B85" s="56">
        <f>LOOKUP($A85,Quantities!$T67:$T82,Quantities!AE67:AE82)</f>
      </c>
      <c r="C85" s="56">
        <f>LOOKUP($A85,Quantities!$T67:$T82,Quantities!AF67:AF82)</f>
      </c>
      <c r="D85" s="56">
        <f>LOOKUP($A85,Quantities!$T67:$T82,Quantities!AG67:AG82)</f>
      </c>
      <c r="E85" s="56">
        <f>LOOKUP($A85,Quantities!$T67:$T82,Quantities!AR67:AR82)</f>
      </c>
      <c r="F85" s="57">
        <f>LOOKUP($A85,Quantities!$T67:$T82,Quantities!AQ67:AQ82)</f>
        <v>0</v>
      </c>
      <c r="G85" s="57">
        <f t="shared" si="4"/>
        <v>0</v>
      </c>
    </row>
    <row r="86" spans="1:7" s="58" customFormat="1" ht="12.75" hidden="1">
      <c r="A86" s="55">
        <f t="shared" si="5"/>
        <v>13</v>
      </c>
      <c r="B86" s="56">
        <f>LOOKUP($A86,Quantities!$T67:$T82,Quantities!AE67:AE82)</f>
      </c>
      <c r="C86" s="56">
        <f>LOOKUP($A86,Quantities!$T67:$T82,Quantities!AF67:AF82)</f>
      </c>
      <c r="D86" s="56">
        <f>LOOKUP($A86,Quantities!$T67:$T82,Quantities!AG67:AG82)</f>
      </c>
      <c r="E86" s="56">
        <f>LOOKUP($A86,Quantities!$T67:$T82,Quantities!AR67:AR82)</f>
      </c>
      <c r="F86" s="57">
        <f>LOOKUP($A86,Quantities!$T67:$T82,Quantities!AQ67:AQ82)</f>
        <v>0</v>
      </c>
      <c r="G86" s="57">
        <f t="shared" si="4"/>
        <v>0</v>
      </c>
    </row>
    <row r="87" spans="1:7" s="58" customFormat="1" ht="12.75" hidden="1">
      <c r="A87" s="55">
        <f t="shared" si="5"/>
        <v>14</v>
      </c>
      <c r="B87" s="56">
        <f>LOOKUP($A87,Quantities!$T67:$T82,Quantities!AE67:AE82)</f>
      </c>
      <c r="C87" s="56">
        <f>LOOKUP($A87,Quantities!$T67:$T82,Quantities!AF67:AF82)</f>
      </c>
      <c r="D87" s="56">
        <f>LOOKUP($A87,Quantities!$T67:$T82,Quantities!AG67:AG82)</f>
      </c>
      <c r="E87" s="56">
        <f>LOOKUP($A87,Quantities!$T67:$T82,Quantities!AR67:AR82)</f>
      </c>
      <c r="F87" s="57">
        <f>LOOKUP($A87,Quantities!$T67:$T82,Quantities!AQ67:AQ82)</f>
        <v>0</v>
      </c>
      <c r="G87" s="57">
        <f t="shared" si="4"/>
        <v>0</v>
      </c>
    </row>
    <row r="88" spans="1:7" s="59" customFormat="1" ht="12.75" hidden="1">
      <c r="A88" s="55">
        <f t="shared" si="5"/>
        <v>15</v>
      </c>
      <c r="B88" s="56">
        <f>LOOKUP($A88,Quantities!$T67:$T82,Quantities!AE67:AE82)</f>
      </c>
      <c r="C88" s="56">
        <f>LOOKUP($A88,Quantities!$T67:$T82,Quantities!AF67:AF82)</f>
      </c>
      <c r="D88" s="56">
        <f>LOOKUP($A88,Quantities!$T67:$T82,Quantities!AG67:AG82)</f>
      </c>
      <c r="E88" s="56">
        <f>LOOKUP($A88,Quantities!$T67:$T82,Quantities!AR67:AR82)</f>
      </c>
      <c r="F88" s="57">
        <f>LOOKUP($A88,Quantities!$T67:$T82,Quantities!AQ67:AQ82)</f>
        <v>0</v>
      </c>
      <c r="G88" s="57">
        <f t="shared" si="4"/>
        <v>0</v>
      </c>
    </row>
    <row r="89" spans="1:7" s="59" customFormat="1" ht="12.75" hidden="1">
      <c r="A89" s="55">
        <f t="shared" si="5"/>
        <v>16</v>
      </c>
      <c r="B89" s="56">
        <f>LOOKUP($A89,Quantities!$T67:$T82,Quantities!AE67:AE82)</f>
      </c>
      <c r="C89" s="56">
        <f>LOOKUP($A89,Quantities!$T67:$T82,Quantities!AF67:AF82)</f>
      </c>
      <c r="D89" s="56">
        <f>LOOKUP($A89,Quantities!$T67:$T82,Quantities!AG67:AG82)</f>
      </c>
      <c r="E89" s="56">
        <f>LOOKUP($A89,Quantities!$T67:$T82,Quantities!AR67:AR82)</f>
      </c>
      <c r="F89" s="57">
        <f>LOOKUP($A89,Quantities!$T67:$T82,Quantities!AQ67:AQ82)</f>
        <v>0</v>
      </c>
      <c r="G89" s="57">
        <f t="shared" si="4"/>
        <v>0</v>
      </c>
    </row>
    <row r="90" spans="1:8" ht="12.75">
      <c r="A90" s="50"/>
      <c r="E90" s="60" t="s">
        <v>129</v>
      </c>
      <c r="F90" s="61"/>
      <c r="G90" s="62">
        <f>SUM(G74:G89)</f>
        <v>36530</v>
      </c>
      <c r="H90" s="63">
        <f>G90</f>
        <v>36530</v>
      </c>
    </row>
    <row r="94" spans="1:7" ht="12.75">
      <c r="A94" s="165" t="s">
        <v>13</v>
      </c>
      <c r="B94" s="165"/>
      <c r="C94" s="165"/>
      <c r="D94" s="165"/>
      <c r="E94" s="165"/>
      <c r="F94" s="165"/>
      <c r="G94" s="165"/>
    </row>
    <row r="95" spans="1:7" s="38" customFormat="1" ht="12.75">
      <c r="A95" s="159" t="s">
        <v>0</v>
      </c>
      <c r="B95" s="160"/>
      <c r="C95" s="160"/>
      <c r="D95" s="160"/>
      <c r="E95" s="160"/>
      <c r="F95" s="160"/>
      <c r="G95" s="160"/>
    </row>
    <row r="96" spans="1:7" s="38" customFormat="1" ht="12.75">
      <c r="A96" s="159" t="str">
        <f>A65</f>
        <v>HC Engineer 2022 Road Improvement Project</v>
      </c>
      <c r="B96" s="166"/>
      <c r="C96" s="166"/>
      <c r="D96" s="166"/>
      <c r="E96" s="166"/>
      <c r="F96" s="166"/>
      <c r="G96" s="166"/>
    </row>
    <row r="97" spans="1:7" s="38" customFormat="1" ht="12" customHeight="1">
      <c r="A97" s="167" t="str">
        <f>A66</f>
        <v>12.16.21</v>
      </c>
      <c r="B97" s="160"/>
      <c r="C97" s="160"/>
      <c r="D97" s="160"/>
      <c r="E97" s="160"/>
      <c r="F97" s="160"/>
      <c r="G97" s="160"/>
    </row>
    <row r="98" ht="11.25" customHeight="1"/>
    <row r="99" spans="1:7" s="44" customFormat="1" ht="12.75">
      <c r="A99" s="43" t="str">
        <f>Quantities!C97</f>
        <v>Road 17D b/ 424- Road L</v>
      </c>
      <c r="F99" s="45"/>
      <c r="G99" s="45"/>
    </row>
    <row r="100" spans="1:7" s="38" customFormat="1" ht="12.75">
      <c r="A100" s="44" t="str">
        <f>Quantities!AB115</f>
        <v>Length:  1705 Feet or 0.32 Mile(s)</v>
      </c>
      <c r="B100" s="46"/>
      <c r="C100" s="44"/>
      <c r="D100" s="47"/>
      <c r="F100" s="48"/>
      <c r="G100" s="48"/>
    </row>
    <row r="101" spans="1:7" s="38" customFormat="1" ht="12.75">
      <c r="A101" s="44" t="str">
        <f>Quantities!AB116</f>
        <v>Width:  19.5 Feet     (Approx. 3735 S.Y. including radius and driveway work)</v>
      </c>
      <c r="B101" s="44"/>
      <c r="C101" s="46"/>
      <c r="D101" s="49"/>
      <c r="F101" s="48"/>
      <c r="G101" s="48"/>
    </row>
    <row r="102" spans="1:7" s="38" customFormat="1" ht="12.75">
      <c r="A102" s="44" t="str">
        <f>Quantities!AB117</f>
        <v>Type: ODOT Spec 823 </v>
      </c>
      <c r="B102" s="50"/>
      <c r="C102" s="50"/>
      <c r="D102" s="50"/>
      <c r="F102" s="48"/>
      <c r="G102" s="48"/>
    </row>
    <row r="103" spans="1:7" s="38" customFormat="1" ht="12.75">
      <c r="A103" s="50"/>
      <c r="B103" s="44"/>
      <c r="C103" s="50"/>
      <c r="D103" s="50"/>
      <c r="F103" s="51"/>
      <c r="G103" s="51"/>
    </row>
    <row r="104" spans="1:7" s="38" customFormat="1" ht="12.75">
      <c r="A104" s="52" t="s">
        <v>1</v>
      </c>
      <c r="B104" s="52" t="s">
        <v>2</v>
      </c>
      <c r="C104" s="52" t="s">
        <v>36</v>
      </c>
      <c r="D104" s="52" t="s">
        <v>3</v>
      </c>
      <c r="E104" s="53" t="s">
        <v>4</v>
      </c>
      <c r="F104" s="54" t="s">
        <v>5</v>
      </c>
      <c r="G104" s="54" t="s">
        <v>6</v>
      </c>
    </row>
    <row r="105" spans="1:7" s="58" customFormat="1" ht="12.75">
      <c r="A105" s="55">
        <f>A74</f>
        <v>1</v>
      </c>
      <c r="B105" s="56">
        <f>LOOKUP($A105,Quantities!$T98:$T113,Quantities!AE98:AE113)</f>
        <v>407</v>
      </c>
      <c r="C105" s="56">
        <f>LOOKUP($A105,Quantities!$T98:$T113,Quantities!AF98:AF113)</f>
        <v>185</v>
      </c>
      <c r="D105" s="56" t="str">
        <f>LOOKUP($A105,Quantities!$T98:$T113,Quantities!AG98:AG113)</f>
        <v>Gal</v>
      </c>
      <c r="E105" s="56" t="str">
        <f>LOOKUP($A105,Quantities!$T98:$T113,Quantities!AR98:AR113)</f>
        <v>Bituminous Tack Coat applied at 0.05 gallons per square yard</v>
      </c>
      <c r="F105" s="57">
        <f>LOOKUP($A105,Quantities!$T98:$T113,Quantities!AQ98:AQ113)</f>
        <v>2.1</v>
      </c>
      <c r="G105" s="57">
        <f aca="true" t="shared" si="6" ref="G105:G120">IF(C105="",0,F105*C105)</f>
        <v>388.5</v>
      </c>
    </row>
    <row r="106" spans="1:7" s="58" customFormat="1" ht="38.25">
      <c r="A106" s="55">
        <f aca="true" t="shared" si="7" ref="A106:A120">A105+1</f>
        <v>2</v>
      </c>
      <c r="B106" s="56">
        <f>LOOKUP($A106,Quantities!$T98:$T113,Quantities!AE98:AE113)</f>
        <v>823</v>
      </c>
      <c r="C106" s="56">
        <f>LOOKUP($A106,Quantities!$T98:$T113,Quantities!AF98:AF113)</f>
        <v>156</v>
      </c>
      <c r="D106" s="56" t="str">
        <f>LOOKUP($A106,Quantities!$T98:$T113,Quantities!AG98:AG113)</f>
        <v>C.Y.</v>
      </c>
      <c r="E106" s="56" t="str">
        <f>LOOKUP($A106,Quantities!$T98:$T113,Quantities!AR98:AR113)</f>
        <v>Asphalt concrete surface course PG 64-22, Type 1 (823) applied, spread and compacted at the average depth of 1.5 inches</v>
      </c>
      <c r="F106" s="57">
        <f>LOOKUP($A106,Quantities!$T98:$T113,Quantities!AQ98:AQ113)</f>
        <v>185</v>
      </c>
      <c r="G106" s="57">
        <f t="shared" si="6"/>
        <v>28860</v>
      </c>
    </row>
    <row r="107" spans="1:7" s="58" customFormat="1" ht="12.75">
      <c r="A107" s="55">
        <f t="shared" si="7"/>
        <v>3</v>
      </c>
      <c r="B107" s="56">
        <f>LOOKUP($A107,Quantities!$T98:$T113,Quantities!AE98:AE113)</f>
        <v>254</v>
      </c>
      <c r="C107" s="56">
        <f>LOOKUP($A107,Quantities!$T98:$T113,Quantities!AF98:AF113)</f>
        <v>375</v>
      </c>
      <c r="D107" s="56" t="str">
        <f>LOOKUP($A107,Quantities!$T98:$T113,Quantities!AG98:AG113)</f>
        <v>S.Y.</v>
      </c>
      <c r="E107" s="56" t="str">
        <f>LOOKUP($A107,Quantities!$T98:$T113,Quantities!AR98:AR113)</f>
        <v>Pavement Planing (20' length including radius)</v>
      </c>
      <c r="F107" s="57">
        <f>LOOKUP($A107,Quantities!$T98:$T113,Quantities!AQ98:AQ113)</f>
        <v>12</v>
      </c>
      <c r="G107" s="57">
        <f t="shared" si="6"/>
        <v>4500</v>
      </c>
    </row>
    <row r="108" spans="1:7" s="59" customFormat="1" ht="12.75">
      <c r="A108" s="55">
        <f t="shared" si="7"/>
        <v>4</v>
      </c>
      <c r="B108" s="56">
        <f>LOOKUP($A108,Quantities!$T98:$T113,Quantities!AE98:AE113)</f>
        <v>614</v>
      </c>
      <c r="C108" s="56">
        <f>LOOKUP($A108,Quantities!$T98:$T113,Quantities!AF98:AF113)</f>
        <v>1</v>
      </c>
      <c r="D108" s="56" t="str">
        <f>LOOKUP($A108,Quantities!$T98:$T113,Quantities!AG98:AG113)</f>
        <v>L.S.</v>
      </c>
      <c r="E108" s="56" t="str">
        <f>LOOKUP($A108,Quantities!$T98:$T113,Quantities!AR98:AR113)</f>
        <v>Maintaining Traffic</v>
      </c>
      <c r="F108" s="57">
        <f>LOOKUP($A108,Quantities!$T98:$T113,Quantities!AQ98:AQ113)</f>
        <v>3000</v>
      </c>
      <c r="G108" s="57">
        <f t="shared" si="6"/>
        <v>3000</v>
      </c>
    </row>
    <row r="109" spans="1:7" s="58" customFormat="1" ht="12.75">
      <c r="A109" s="55">
        <f t="shared" si="7"/>
        <v>5</v>
      </c>
      <c r="B109" s="56">
        <f>LOOKUP($A109,Quantities!$T98:$T113,Quantities!AE98:AE113)</f>
        <v>624</v>
      </c>
      <c r="C109" s="56">
        <f>LOOKUP($A109,Quantities!$T98:$T113,Quantities!AF98:AF113)</f>
        <v>1</v>
      </c>
      <c r="D109" s="56" t="str">
        <f>LOOKUP($A109,Quantities!$T98:$T113,Quantities!AG98:AG113)</f>
        <v>L.S.</v>
      </c>
      <c r="E109" s="56" t="str">
        <f>LOOKUP($A109,Quantities!$T98:$T113,Quantities!AR98:AR113)</f>
        <v>Mobilization</v>
      </c>
      <c r="F109" s="57">
        <f>LOOKUP($A109,Quantities!$T98:$T113,Quantities!AQ98:AQ113)</f>
        <v>1500</v>
      </c>
      <c r="G109" s="57">
        <f t="shared" si="6"/>
        <v>1500</v>
      </c>
    </row>
    <row r="110" spans="1:7" s="58" customFormat="1" ht="12.75">
      <c r="A110" s="55">
        <f t="shared" si="7"/>
        <v>6</v>
      </c>
      <c r="B110" s="56">
        <f>LOOKUP($A110,Quantities!$T98:$T113,Quantities!AE98:AE113)</f>
        <v>103.05</v>
      </c>
      <c r="C110" s="56">
        <f>LOOKUP($A110,Quantities!$T98:$T113,Quantities!AF98:AF113)</f>
        <v>1</v>
      </c>
      <c r="D110" s="56" t="str">
        <f>LOOKUP($A110,Quantities!$T98:$T113,Quantities!AG98:AG113)</f>
        <v>L.S.</v>
      </c>
      <c r="E110" s="56" t="str">
        <f>LOOKUP($A110,Quantities!$T98:$T113,Quantities!AR98:AR113)</f>
        <v>Contract Performance &amp; Payment Bond</v>
      </c>
      <c r="F110" s="57">
        <f>LOOKUP($A110,Quantities!$T98:$T113,Quantities!AQ98:AQ113)</f>
        <v>901.5</v>
      </c>
      <c r="G110" s="57">
        <f t="shared" si="6"/>
        <v>901.5</v>
      </c>
    </row>
    <row r="111" spans="1:7" s="58" customFormat="1" ht="12.75">
      <c r="A111" s="55">
        <f t="shared" si="7"/>
        <v>7</v>
      </c>
      <c r="B111" s="56">
        <v>611</v>
      </c>
      <c r="C111" s="56">
        <v>2</v>
      </c>
      <c r="D111" s="56" t="s">
        <v>166</v>
      </c>
      <c r="E111" s="56" t="s">
        <v>167</v>
      </c>
      <c r="F111" s="57">
        <v>900</v>
      </c>
      <c r="G111" s="57">
        <f t="shared" si="6"/>
        <v>1800</v>
      </c>
    </row>
    <row r="112" spans="1:7" s="58" customFormat="1" ht="12.75">
      <c r="A112" s="55">
        <f t="shared" si="7"/>
        <v>8</v>
      </c>
      <c r="B112" s="56">
        <v>611</v>
      </c>
      <c r="C112" s="56">
        <v>4</v>
      </c>
      <c r="D112" s="56" t="s">
        <v>166</v>
      </c>
      <c r="E112" s="56" t="s">
        <v>171</v>
      </c>
      <c r="F112" s="57">
        <v>1500</v>
      </c>
      <c r="G112" s="57">
        <f t="shared" si="6"/>
        <v>6000</v>
      </c>
    </row>
    <row r="113" spans="1:7" s="58" customFormat="1" ht="12.75" hidden="1">
      <c r="A113" s="55">
        <f t="shared" si="7"/>
        <v>9</v>
      </c>
      <c r="B113" s="56">
        <f>LOOKUP($A113,Quantities!$T98:$T113,Quantities!AE98:AE113)</f>
      </c>
      <c r="C113" s="56">
        <f>LOOKUP($A113,Quantities!$T98:$T113,Quantities!AF98:AF113)</f>
      </c>
      <c r="D113" s="56">
        <f>LOOKUP($A113,Quantities!$T98:$T113,Quantities!AG98:AG113)</f>
      </c>
      <c r="E113" s="56">
        <f>LOOKUP($A113,Quantities!$T98:$T113,Quantities!AR98:AR113)</f>
      </c>
      <c r="F113" s="57">
        <f>LOOKUP($A113,Quantities!$T98:$T113,Quantities!AQ98:AQ113)</f>
        <v>0</v>
      </c>
      <c r="G113" s="57">
        <f t="shared" si="6"/>
        <v>0</v>
      </c>
    </row>
    <row r="114" spans="1:7" s="58" customFormat="1" ht="12.75" hidden="1">
      <c r="A114" s="55">
        <f t="shared" si="7"/>
        <v>10</v>
      </c>
      <c r="B114" s="56">
        <f>LOOKUP($A114,Quantities!$T98:$T113,Quantities!AE98:AE113)</f>
      </c>
      <c r="C114" s="56">
        <f>LOOKUP($A114,Quantities!$T98:$T113,Quantities!AF98:AF113)</f>
      </c>
      <c r="D114" s="56">
        <f>LOOKUP($A114,Quantities!$T98:$T113,Quantities!AG98:AG113)</f>
      </c>
      <c r="E114" s="56">
        <f>LOOKUP($A114,Quantities!$T98:$T113,Quantities!AR98:AR113)</f>
      </c>
      <c r="F114" s="57">
        <f>LOOKUP($A114,Quantities!$T98:$T113,Quantities!AQ98:AQ113)</f>
        <v>0</v>
      </c>
      <c r="G114" s="57">
        <f t="shared" si="6"/>
        <v>0</v>
      </c>
    </row>
    <row r="115" spans="1:7" s="58" customFormat="1" ht="12.75" hidden="1">
      <c r="A115" s="55">
        <f t="shared" si="7"/>
        <v>11</v>
      </c>
      <c r="B115" s="56">
        <f>LOOKUP($A115,Quantities!$T98:$T113,Quantities!AE98:AE113)</f>
      </c>
      <c r="C115" s="56">
        <f>LOOKUP($A115,Quantities!$T98:$T113,Quantities!AF98:AF113)</f>
      </c>
      <c r="D115" s="56">
        <f>LOOKUP($A115,Quantities!$T98:$T113,Quantities!AG98:AG113)</f>
      </c>
      <c r="E115" s="56">
        <f>LOOKUP($A115,Quantities!$T98:$T113,Quantities!AR98:AR113)</f>
      </c>
      <c r="F115" s="57">
        <f>LOOKUP($A115,Quantities!$T98:$T113,Quantities!AQ98:AQ113)</f>
        <v>0</v>
      </c>
      <c r="G115" s="57">
        <f t="shared" si="6"/>
        <v>0</v>
      </c>
    </row>
    <row r="116" spans="1:7" s="58" customFormat="1" ht="12.75" hidden="1">
      <c r="A116" s="55">
        <f t="shared" si="7"/>
        <v>12</v>
      </c>
      <c r="B116" s="56">
        <f>LOOKUP($A116,Quantities!$T98:$T113,Quantities!AE98:AE113)</f>
      </c>
      <c r="C116" s="56">
        <f>LOOKUP($A116,Quantities!$T98:$T113,Quantities!AF98:AF113)</f>
      </c>
      <c r="D116" s="56">
        <f>LOOKUP($A116,Quantities!$T98:$T113,Quantities!AG98:AG113)</f>
      </c>
      <c r="E116" s="56">
        <f>LOOKUP($A116,Quantities!$T98:$T113,Quantities!AR98:AR113)</f>
      </c>
      <c r="F116" s="57">
        <f>LOOKUP($A116,Quantities!$T98:$T113,Quantities!AQ98:AQ113)</f>
        <v>0</v>
      </c>
      <c r="G116" s="57">
        <f t="shared" si="6"/>
        <v>0</v>
      </c>
    </row>
    <row r="117" spans="1:7" s="58" customFormat="1" ht="12.75" hidden="1">
      <c r="A117" s="55">
        <f t="shared" si="7"/>
        <v>13</v>
      </c>
      <c r="B117" s="56">
        <f>LOOKUP($A117,Quantities!$T98:$T113,Quantities!AE98:AE113)</f>
      </c>
      <c r="C117" s="56">
        <f>LOOKUP($A117,Quantities!$T98:$T113,Quantities!AF98:AF113)</f>
      </c>
      <c r="D117" s="56">
        <f>LOOKUP($A117,Quantities!$T98:$T113,Quantities!AG98:AG113)</f>
      </c>
      <c r="E117" s="56">
        <f>LOOKUP($A117,Quantities!$T98:$T113,Quantities!AR98:AR113)</f>
      </c>
      <c r="F117" s="57">
        <f>LOOKUP($A117,Quantities!$T98:$T113,Quantities!AQ98:AQ113)</f>
        <v>0</v>
      </c>
      <c r="G117" s="57">
        <f t="shared" si="6"/>
        <v>0</v>
      </c>
    </row>
    <row r="118" spans="1:7" s="58" customFormat="1" ht="12.75" hidden="1">
      <c r="A118" s="55">
        <f t="shared" si="7"/>
        <v>14</v>
      </c>
      <c r="B118" s="56">
        <f>LOOKUP($A118,Quantities!$T98:$T113,Quantities!AE98:AE113)</f>
      </c>
      <c r="C118" s="56">
        <f>LOOKUP($A118,Quantities!$T98:$T113,Quantities!AF98:AF113)</f>
      </c>
      <c r="D118" s="56">
        <f>LOOKUP($A118,Quantities!$T98:$T113,Quantities!AG98:AG113)</f>
      </c>
      <c r="E118" s="56">
        <f>LOOKUP($A118,Quantities!$T98:$T113,Quantities!AR98:AR113)</f>
      </c>
      <c r="F118" s="57">
        <f>LOOKUP($A118,Quantities!$T98:$T113,Quantities!AQ98:AQ113)</f>
        <v>0</v>
      </c>
      <c r="G118" s="57">
        <f t="shared" si="6"/>
        <v>0</v>
      </c>
    </row>
    <row r="119" spans="1:7" s="59" customFormat="1" ht="12.75" hidden="1">
      <c r="A119" s="55">
        <f t="shared" si="7"/>
        <v>15</v>
      </c>
      <c r="B119" s="56">
        <f>LOOKUP($A119,Quantities!$T98:$T113,Quantities!AE98:AE113)</f>
      </c>
      <c r="C119" s="56">
        <f>LOOKUP($A119,Quantities!$T98:$T113,Quantities!AF98:AF113)</f>
      </c>
      <c r="D119" s="56">
        <f>LOOKUP($A119,Quantities!$T98:$T113,Quantities!AG98:AG113)</f>
      </c>
      <c r="E119" s="56">
        <f>LOOKUP($A119,Quantities!$T98:$T113,Quantities!AR98:AR113)</f>
      </c>
      <c r="F119" s="57">
        <f>LOOKUP($A119,Quantities!$T98:$T113,Quantities!AQ98:AQ113)</f>
        <v>0</v>
      </c>
      <c r="G119" s="57">
        <f t="shared" si="6"/>
        <v>0</v>
      </c>
    </row>
    <row r="120" spans="1:7" s="59" customFormat="1" ht="12.75" hidden="1">
      <c r="A120" s="55">
        <f t="shared" si="7"/>
        <v>16</v>
      </c>
      <c r="B120" s="56">
        <f>LOOKUP($A120,Quantities!$T98:$T113,Quantities!AE98:AE113)</f>
      </c>
      <c r="C120" s="56">
        <f>LOOKUP($A120,Quantities!$T98:$T113,Quantities!AF98:AF113)</f>
      </c>
      <c r="D120" s="56">
        <f>LOOKUP($A120,Quantities!$T98:$T113,Quantities!AG98:AG113)</f>
      </c>
      <c r="E120" s="56">
        <f>LOOKUP($A120,Quantities!$T98:$T113,Quantities!AR98:AR113)</f>
      </c>
      <c r="F120" s="57">
        <f>LOOKUP($A120,Quantities!$T98:$T113,Quantities!AQ98:AQ113)</f>
        <v>0</v>
      </c>
      <c r="G120" s="57">
        <f t="shared" si="6"/>
        <v>0</v>
      </c>
    </row>
    <row r="121" spans="1:8" ht="12.75">
      <c r="A121" s="50"/>
      <c r="E121" s="60" t="s">
        <v>129</v>
      </c>
      <c r="F121" s="61"/>
      <c r="G121" s="62">
        <f>SUM(G105:G120)</f>
        <v>46950</v>
      </c>
      <c r="H121" s="63">
        <f>G121</f>
        <v>46950</v>
      </c>
    </row>
    <row r="125" spans="1:7" ht="12.75">
      <c r="A125" s="165" t="s">
        <v>13</v>
      </c>
      <c r="B125" s="165"/>
      <c r="C125" s="165"/>
      <c r="D125" s="165"/>
      <c r="E125" s="165"/>
      <c r="F125" s="165"/>
      <c r="G125" s="165"/>
    </row>
    <row r="126" spans="1:7" s="38" customFormat="1" ht="12.75">
      <c r="A126" s="159" t="s">
        <v>0</v>
      </c>
      <c r="B126" s="160"/>
      <c r="C126" s="160"/>
      <c r="D126" s="160"/>
      <c r="E126" s="160"/>
      <c r="F126" s="160"/>
      <c r="G126" s="160"/>
    </row>
    <row r="127" spans="1:7" s="38" customFormat="1" ht="12.75">
      <c r="A127" s="159" t="str">
        <f>A96</f>
        <v>HC Engineer 2022 Road Improvement Project</v>
      </c>
      <c r="B127" s="166"/>
      <c r="C127" s="166"/>
      <c r="D127" s="166"/>
      <c r="E127" s="166"/>
      <c r="F127" s="166"/>
      <c r="G127" s="166"/>
    </row>
    <row r="128" spans="1:7" s="38" customFormat="1" ht="12" customHeight="1">
      <c r="A128" s="167" t="str">
        <f>A97</f>
        <v>12.16.21</v>
      </c>
      <c r="B128" s="160"/>
      <c r="C128" s="160"/>
      <c r="D128" s="160"/>
      <c r="E128" s="160"/>
      <c r="F128" s="160"/>
      <c r="G128" s="160"/>
    </row>
    <row r="129" ht="11.25" customHeight="1"/>
    <row r="130" spans="1:7" s="44" customFormat="1" ht="12.75">
      <c r="A130" s="43" t="str">
        <f>Quantities!C128</f>
        <v>Road S b/ Road 10- Road 13</v>
      </c>
      <c r="F130" s="45"/>
      <c r="G130" s="45"/>
    </row>
    <row r="131" spans="1:7" s="38" customFormat="1" ht="12.75">
      <c r="A131" s="44" t="str">
        <f>Quantities!AB146</f>
        <v>Length:  15930 Feet or 3.02 Mile(s)</v>
      </c>
      <c r="B131" s="46"/>
      <c r="C131" s="44"/>
      <c r="D131" s="47"/>
      <c r="F131" s="48"/>
      <c r="G131" s="48"/>
    </row>
    <row r="132" spans="1:7" s="38" customFormat="1" ht="12.75">
      <c r="A132" s="44" t="str">
        <f>Quantities!AB147</f>
        <v>Width:  18.5 Feet     (Approx. 32985 S.Y. including radius and driveway work)</v>
      </c>
      <c r="B132" s="44"/>
      <c r="C132" s="46"/>
      <c r="D132" s="49"/>
      <c r="F132" s="48"/>
      <c r="G132" s="48"/>
    </row>
    <row r="133" spans="1:7" s="38" customFormat="1" ht="12.75">
      <c r="A133" s="44" t="str">
        <f>Quantities!AB148</f>
        <v>Type: ODOT Spec 823 </v>
      </c>
      <c r="B133" s="50"/>
      <c r="C133" s="50"/>
      <c r="D133" s="50"/>
      <c r="F133" s="48"/>
      <c r="G133" s="48"/>
    </row>
    <row r="134" spans="1:7" s="38" customFormat="1" ht="12.75">
      <c r="A134" s="50"/>
      <c r="B134" s="44"/>
      <c r="C134" s="50"/>
      <c r="D134" s="50"/>
      <c r="F134" s="51"/>
      <c r="G134" s="51"/>
    </row>
    <row r="135" spans="1:7" s="38" customFormat="1" ht="12.75">
      <c r="A135" s="52" t="s">
        <v>1</v>
      </c>
      <c r="B135" s="52" t="s">
        <v>2</v>
      </c>
      <c r="C135" s="52" t="s">
        <v>36</v>
      </c>
      <c r="D135" s="52" t="s">
        <v>3</v>
      </c>
      <c r="E135" s="53" t="s">
        <v>4</v>
      </c>
      <c r="F135" s="54" t="s">
        <v>5</v>
      </c>
      <c r="G135" s="54" t="s">
        <v>6</v>
      </c>
    </row>
    <row r="136" spans="1:7" s="58" customFormat="1" ht="12.75">
      <c r="A136" s="55">
        <f>A105</f>
        <v>1</v>
      </c>
      <c r="B136" s="56">
        <f>LOOKUP($A136,Quantities!$T129:$T144,Quantities!AE129:AE144)</f>
        <v>407</v>
      </c>
      <c r="C136" s="56">
        <f>LOOKUP($A136,Quantities!$T129:$T144,Quantities!AF129:AF144)</f>
        <v>1650</v>
      </c>
      <c r="D136" s="56" t="str">
        <f>LOOKUP($A136,Quantities!$T129:$T144,Quantities!AG129:AG144)</f>
        <v>Gal</v>
      </c>
      <c r="E136" s="56" t="str">
        <f>LOOKUP($A136,Quantities!$T129:$T144,Quantities!AR129:AR144)</f>
        <v>Bituminous Tack Coat applied at 0.05 gallons per square yard</v>
      </c>
      <c r="F136" s="57">
        <f>LOOKUP($A136,Quantities!$T129:$T144,Quantities!AQ129:AQ144)</f>
        <v>2.1</v>
      </c>
      <c r="G136" s="57">
        <f aca="true" t="shared" si="8" ref="G136:G151">IF(C136="",0,F136*C136)</f>
        <v>3465</v>
      </c>
    </row>
    <row r="137" spans="1:7" s="58" customFormat="1" ht="38.25">
      <c r="A137" s="55">
        <f aca="true" t="shared" si="9" ref="A137:A151">A136+1</f>
        <v>2</v>
      </c>
      <c r="B137" s="56">
        <f>LOOKUP($A137,Quantities!$T129:$T144,Quantities!AE129:AE144)</f>
        <v>823</v>
      </c>
      <c r="C137" s="56">
        <f>LOOKUP($A137,Quantities!$T129:$T144,Quantities!AF129:AF144)</f>
        <v>1375</v>
      </c>
      <c r="D137" s="56" t="str">
        <f>LOOKUP($A137,Quantities!$T129:$T144,Quantities!AG129:AG144)</f>
        <v>C.Y.</v>
      </c>
      <c r="E137" s="56" t="str">
        <f>LOOKUP($A137,Quantities!$T129:$T144,Quantities!AR129:AR144)</f>
        <v>Asphalt concrete surface course PG 64-22, Type 1 (823) applied, spread and compacted at the average depth of 1.5 inches</v>
      </c>
      <c r="F137" s="57">
        <f>LOOKUP($A137,Quantities!$T129:$T144,Quantities!AQ129:AQ144)</f>
        <v>185</v>
      </c>
      <c r="G137" s="57">
        <f t="shared" si="8"/>
        <v>254375</v>
      </c>
    </row>
    <row r="138" spans="1:7" s="58" customFormat="1" ht="12.75">
      <c r="A138" s="55">
        <f t="shared" si="9"/>
        <v>3</v>
      </c>
      <c r="B138" s="56">
        <f>LOOKUP($A138,Quantities!$T129:$T144,Quantities!AE129:AE144)</f>
        <v>254</v>
      </c>
      <c r="C138" s="56">
        <f>LOOKUP($A138,Quantities!$T129:$T144,Quantities!AF129:AF144)</f>
        <v>1010</v>
      </c>
      <c r="D138" s="56" t="str">
        <f>LOOKUP($A138,Quantities!$T129:$T144,Quantities!AG129:AG144)</f>
        <v>S.Y.</v>
      </c>
      <c r="E138" s="56" t="str">
        <f>LOOKUP($A138,Quantities!$T129:$T144,Quantities!AR129:AR144)</f>
        <v>Pavement Planing (20' length including radius)</v>
      </c>
      <c r="F138" s="57">
        <f>LOOKUP($A138,Quantities!$T129:$T144,Quantities!AQ129:AQ144)</f>
        <v>12</v>
      </c>
      <c r="G138" s="57">
        <f t="shared" si="8"/>
        <v>12120</v>
      </c>
    </row>
    <row r="139" spans="1:7" s="59" customFormat="1" ht="12.75">
      <c r="A139" s="55">
        <f t="shared" si="9"/>
        <v>4</v>
      </c>
      <c r="B139" s="56">
        <f>LOOKUP($A139,Quantities!$T129:$T144,Quantities!AE129:AE144)</f>
        <v>614</v>
      </c>
      <c r="C139" s="56">
        <f>LOOKUP($A139,Quantities!$T129:$T144,Quantities!AF129:AF144)</f>
        <v>1</v>
      </c>
      <c r="D139" s="56" t="str">
        <f>LOOKUP($A139,Quantities!$T129:$T144,Quantities!AG129:AG144)</f>
        <v>L.S.</v>
      </c>
      <c r="E139" s="56" t="str">
        <f>LOOKUP($A139,Quantities!$T129:$T144,Quantities!AR129:AR144)</f>
        <v>Maintaining Traffic</v>
      </c>
      <c r="F139" s="57">
        <f>LOOKUP($A139,Quantities!$T129:$T144,Quantities!AQ129:AQ144)</f>
        <v>3000</v>
      </c>
      <c r="G139" s="57">
        <f t="shared" si="8"/>
        <v>3000</v>
      </c>
    </row>
    <row r="140" spans="1:7" s="58" customFormat="1" ht="12.75">
      <c r="A140" s="55">
        <f t="shared" si="9"/>
        <v>5</v>
      </c>
      <c r="B140" s="56">
        <f>LOOKUP($A140,Quantities!$T129:$T144,Quantities!AE129:AE144)</f>
        <v>624</v>
      </c>
      <c r="C140" s="56">
        <f>LOOKUP($A140,Quantities!$T129:$T144,Quantities!AF129:AF144)</f>
        <v>1</v>
      </c>
      <c r="D140" s="56" t="str">
        <f>LOOKUP($A140,Quantities!$T129:$T144,Quantities!AG129:AG144)</f>
        <v>L.S.</v>
      </c>
      <c r="E140" s="56" t="str">
        <f>LOOKUP($A140,Quantities!$T129:$T144,Quantities!AR129:AR144)</f>
        <v>Mobilization</v>
      </c>
      <c r="F140" s="57">
        <f>LOOKUP($A140,Quantities!$T129:$T144,Quantities!AQ129:AQ144)</f>
        <v>1500</v>
      </c>
      <c r="G140" s="57">
        <f t="shared" si="8"/>
        <v>1500</v>
      </c>
    </row>
    <row r="141" spans="1:7" s="58" customFormat="1" ht="12.75">
      <c r="A141" s="55">
        <f t="shared" si="9"/>
        <v>6</v>
      </c>
      <c r="B141" s="56">
        <f>LOOKUP($A141,Quantities!$T129:$T144,Quantities!AE129:AE144)</f>
        <v>103.05</v>
      </c>
      <c r="C141" s="56">
        <f>LOOKUP($A141,Quantities!$T129:$T144,Quantities!AF129:AF144)</f>
        <v>1</v>
      </c>
      <c r="D141" s="56" t="str">
        <f>LOOKUP($A141,Quantities!$T129:$T144,Quantities!AG129:AG144)</f>
        <v>L.S.</v>
      </c>
      <c r="E141" s="56" t="str">
        <f>LOOKUP($A141,Quantities!$T129:$T144,Quantities!AR129:AR144)</f>
        <v>Contract Performance &amp; Payment Bond</v>
      </c>
      <c r="F141" s="57">
        <f>LOOKUP($A141,Quantities!$T129:$T144,Quantities!AQ129:AQ144)</f>
        <v>1275</v>
      </c>
      <c r="G141" s="57">
        <f t="shared" si="8"/>
        <v>1275</v>
      </c>
    </row>
    <row r="142" spans="1:7" s="58" customFormat="1" ht="12.75" hidden="1">
      <c r="A142" s="55">
        <f t="shared" si="9"/>
        <v>7</v>
      </c>
      <c r="B142" s="56">
        <f>LOOKUP($A142,Quantities!$T129:$T144,Quantities!AE129:AE144)</f>
      </c>
      <c r="C142" s="56">
        <f>LOOKUP($A142,Quantities!$T129:$T144,Quantities!AF129:AF144)</f>
      </c>
      <c r="D142" s="56">
        <f>LOOKUP($A142,Quantities!$T129:$T144,Quantities!AG129:AG144)</f>
      </c>
      <c r="E142" s="56">
        <f>LOOKUP($A142,Quantities!$T129:$T144,Quantities!AR129:AR144)</f>
      </c>
      <c r="F142" s="57">
        <f>LOOKUP($A142,Quantities!$T129:$T144,Quantities!AQ129:AQ144)</f>
        <v>0</v>
      </c>
      <c r="G142" s="57">
        <f t="shared" si="8"/>
        <v>0</v>
      </c>
    </row>
    <row r="143" spans="1:7" s="58" customFormat="1" ht="12.75" hidden="1">
      <c r="A143" s="55">
        <f t="shared" si="9"/>
        <v>8</v>
      </c>
      <c r="B143" s="56">
        <f>LOOKUP($A143,Quantities!$T129:$T144,Quantities!AE129:AE144)</f>
      </c>
      <c r="C143" s="56">
        <f>LOOKUP($A143,Quantities!$T129:$T144,Quantities!AF129:AF144)</f>
      </c>
      <c r="D143" s="56">
        <f>LOOKUP($A143,Quantities!$T129:$T144,Quantities!AG129:AG144)</f>
      </c>
      <c r="E143" s="56">
        <f>LOOKUP($A143,Quantities!$T129:$T144,Quantities!AR129:AR144)</f>
      </c>
      <c r="F143" s="57">
        <f>LOOKUP($A143,Quantities!$T129:$T144,Quantities!AQ129:AQ144)</f>
        <v>0</v>
      </c>
      <c r="G143" s="57">
        <f t="shared" si="8"/>
        <v>0</v>
      </c>
    </row>
    <row r="144" spans="1:7" s="58" customFormat="1" ht="12.75" hidden="1">
      <c r="A144" s="55">
        <f t="shared" si="9"/>
        <v>9</v>
      </c>
      <c r="B144" s="56">
        <f>LOOKUP($A144,Quantities!$T129:$T144,Quantities!AE129:AE144)</f>
      </c>
      <c r="C144" s="56">
        <f>LOOKUP($A144,Quantities!$T129:$T144,Quantities!AF129:AF144)</f>
      </c>
      <c r="D144" s="56">
        <f>LOOKUP($A144,Quantities!$T129:$T144,Quantities!AG129:AG144)</f>
      </c>
      <c r="E144" s="56">
        <f>LOOKUP($A144,Quantities!$T129:$T144,Quantities!AR129:AR144)</f>
      </c>
      <c r="F144" s="57">
        <f>LOOKUP($A144,Quantities!$T129:$T144,Quantities!AQ129:AQ144)</f>
        <v>0</v>
      </c>
      <c r="G144" s="57">
        <f t="shared" si="8"/>
        <v>0</v>
      </c>
    </row>
    <row r="145" spans="1:7" s="58" customFormat="1" ht="12.75" hidden="1">
      <c r="A145" s="55">
        <f t="shared" si="9"/>
        <v>10</v>
      </c>
      <c r="B145" s="56">
        <f>LOOKUP($A145,Quantities!$T129:$T144,Quantities!AE129:AE144)</f>
      </c>
      <c r="C145" s="56">
        <f>LOOKUP($A145,Quantities!$T129:$T144,Quantities!AF129:AF144)</f>
      </c>
      <c r="D145" s="56">
        <f>LOOKUP($A145,Quantities!$T129:$T144,Quantities!AG129:AG144)</f>
      </c>
      <c r="E145" s="56">
        <f>LOOKUP($A145,Quantities!$T129:$T144,Quantities!AR129:AR144)</f>
      </c>
      <c r="F145" s="57">
        <f>LOOKUP($A145,Quantities!$T129:$T144,Quantities!AQ129:AQ144)</f>
        <v>0</v>
      </c>
      <c r="G145" s="57">
        <f t="shared" si="8"/>
        <v>0</v>
      </c>
    </row>
    <row r="146" spans="1:7" s="58" customFormat="1" ht="12.75" hidden="1">
      <c r="A146" s="55">
        <f t="shared" si="9"/>
        <v>11</v>
      </c>
      <c r="B146" s="56">
        <f>LOOKUP($A146,Quantities!$T129:$T144,Quantities!AE129:AE144)</f>
      </c>
      <c r="C146" s="56">
        <f>LOOKUP($A146,Quantities!$T129:$T144,Quantities!AF129:AF144)</f>
      </c>
      <c r="D146" s="56">
        <f>LOOKUP($A146,Quantities!$T129:$T144,Quantities!AG129:AG144)</f>
      </c>
      <c r="E146" s="56">
        <f>LOOKUP($A146,Quantities!$T129:$T144,Quantities!AR129:AR144)</f>
      </c>
      <c r="F146" s="57">
        <f>LOOKUP($A146,Quantities!$T129:$T144,Quantities!AQ129:AQ144)</f>
        <v>0</v>
      </c>
      <c r="G146" s="57">
        <f t="shared" si="8"/>
        <v>0</v>
      </c>
    </row>
    <row r="147" spans="1:7" s="58" customFormat="1" ht="12.75" hidden="1">
      <c r="A147" s="55">
        <f t="shared" si="9"/>
        <v>12</v>
      </c>
      <c r="B147" s="56">
        <f>LOOKUP($A147,Quantities!$T129:$T144,Quantities!AE129:AE144)</f>
      </c>
      <c r="C147" s="56">
        <f>LOOKUP($A147,Quantities!$T129:$T144,Quantities!AF129:AF144)</f>
      </c>
      <c r="D147" s="56">
        <f>LOOKUP($A147,Quantities!$T129:$T144,Quantities!AG129:AG144)</f>
      </c>
      <c r="E147" s="56">
        <f>LOOKUP($A147,Quantities!$T129:$T144,Quantities!AR129:AR144)</f>
      </c>
      <c r="F147" s="57">
        <f>LOOKUP($A147,Quantities!$T129:$T144,Quantities!AQ129:AQ144)</f>
        <v>0</v>
      </c>
      <c r="G147" s="57">
        <f t="shared" si="8"/>
        <v>0</v>
      </c>
    </row>
    <row r="148" spans="1:7" s="58" customFormat="1" ht="12.75" hidden="1">
      <c r="A148" s="55">
        <f t="shared" si="9"/>
        <v>13</v>
      </c>
      <c r="B148" s="56">
        <f>LOOKUP($A148,Quantities!$T129:$T144,Quantities!AE129:AE144)</f>
      </c>
      <c r="C148" s="56">
        <f>LOOKUP($A148,Quantities!$T129:$T144,Quantities!AF129:AF144)</f>
      </c>
      <c r="D148" s="56">
        <f>LOOKUP($A148,Quantities!$T129:$T144,Quantities!AG129:AG144)</f>
      </c>
      <c r="E148" s="56">
        <f>LOOKUP($A148,Quantities!$T129:$T144,Quantities!AR129:AR144)</f>
      </c>
      <c r="F148" s="57">
        <f>LOOKUP($A148,Quantities!$T129:$T144,Quantities!AQ129:AQ144)</f>
        <v>0</v>
      </c>
      <c r="G148" s="57">
        <f t="shared" si="8"/>
        <v>0</v>
      </c>
    </row>
    <row r="149" spans="1:7" s="58" customFormat="1" ht="12.75" hidden="1">
      <c r="A149" s="55">
        <f t="shared" si="9"/>
        <v>14</v>
      </c>
      <c r="B149" s="56">
        <f>LOOKUP($A149,Quantities!$T129:$T144,Quantities!AE129:AE144)</f>
      </c>
      <c r="C149" s="56">
        <f>LOOKUP($A149,Quantities!$T129:$T144,Quantities!AF129:AF144)</f>
      </c>
      <c r="D149" s="56">
        <f>LOOKUP($A149,Quantities!$T129:$T144,Quantities!AG129:AG144)</f>
      </c>
      <c r="E149" s="56">
        <f>LOOKUP($A149,Quantities!$T129:$T144,Quantities!AR129:AR144)</f>
      </c>
      <c r="F149" s="57">
        <f>LOOKUP($A149,Quantities!$T129:$T144,Quantities!AQ129:AQ144)</f>
        <v>0</v>
      </c>
      <c r="G149" s="57">
        <f t="shared" si="8"/>
        <v>0</v>
      </c>
    </row>
    <row r="150" spans="1:7" s="59" customFormat="1" ht="12.75" hidden="1">
      <c r="A150" s="55">
        <f t="shared" si="9"/>
        <v>15</v>
      </c>
      <c r="B150" s="56">
        <f>LOOKUP($A150,Quantities!$T129:$T144,Quantities!AE129:AE144)</f>
      </c>
      <c r="C150" s="56">
        <f>LOOKUP($A150,Quantities!$T129:$T144,Quantities!AF129:AF144)</f>
      </c>
      <c r="D150" s="56">
        <f>LOOKUP($A150,Quantities!$T129:$T144,Quantities!AG129:AG144)</f>
      </c>
      <c r="E150" s="56">
        <f>LOOKUP($A150,Quantities!$T129:$T144,Quantities!AR129:AR144)</f>
      </c>
      <c r="F150" s="57">
        <f>LOOKUP($A150,Quantities!$T129:$T144,Quantities!AQ129:AQ144)</f>
        <v>0</v>
      </c>
      <c r="G150" s="57">
        <f t="shared" si="8"/>
        <v>0</v>
      </c>
    </row>
    <row r="151" spans="1:7" s="59" customFormat="1" ht="12.75" hidden="1">
      <c r="A151" s="55">
        <f t="shared" si="9"/>
        <v>16</v>
      </c>
      <c r="B151" s="56">
        <f>LOOKUP($A151,Quantities!$T129:$T144,Quantities!AE129:AE144)</f>
      </c>
      <c r="C151" s="56">
        <f>LOOKUP($A151,Quantities!$T129:$T144,Quantities!AF129:AF144)</f>
      </c>
      <c r="D151" s="56">
        <f>LOOKUP($A151,Quantities!$T129:$T144,Quantities!AG129:AG144)</f>
      </c>
      <c r="E151" s="56">
        <f>LOOKUP($A151,Quantities!$T129:$T144,Quantities!AR129:AR144)</f>
      </c>
      <c r="F151" s="57">
        <f>LOOKUP($A151,Quantities!$T129:$T144,Quantities!AQ129:AQ144)</f>
        <v>0</v>
      </c>
      <c r="G151" s="57">
        <f t="shared" si="8"/>
        <v>0</v>
      </c>
    </row>
    <row r="152" spans="1:8" ht="12.75">
      <c r="A152" s="50"/>
      <c r="E152" s="60" t="s">
        <v>129</v>
      </c>
      <c r="F152" s="61"/>
      <c r="G152" s="62">
        <f>SUM(G136:G151)</f>
        <v>275735</v>
      </c>
      <c r="H152" s="63">
        <f>G152</f>
        <v>275735</v>
      </c>
    </row>
    <row r="156" spans="1:7" ht="12.75">
      <c r="A156" s="165" t="s">
        <v>13</v>
      </c>
      <c r="B156" s="165"/>
      <c r="C156" s="165"/>
      <c r="D156" s="165"/>
      <c r="E156" s="165"/>
      <c r="F156" s="165"/>
      <c r="G156" s="165"/>
    </row>
    <row r="157" spans="1:7" s="38" customFormat="1" ht="12.75">
      <c r="A157" s="159" t="s">
        <v>0</v>
      </c>
      <c r="B157" s="160"/>
      <c r="C157" s="160"/>
      <c r="D157" s="160"/>
      <c r="E157" s="160"/>
      <c r="F157" s="160"/>
      <c r="G157" s="160"/>
    </row>
    <row r="158" spans="1:7" s="38" customFormat="1" ht="12.75">
      <c r="A158" s="159" t="str">
        <f>A127</f>
        <v>HC Engineer 2022 Road Improvement Project</v>
      </c>
      <c r="B158" s="166"/>
      <c r="C158" s="166"/>
      <c r="D158" s="166"/>
      <c r="E158" s="166"/>
      <c r="F158" s="166"/>
      <c r="G158" s="166"/>
    </row>
    <row r="159" spans="1:7" s="38" customFormat="1" ht="12" customHeight="1">
      <c r="A159" s="167" t="str">
        <f>A128</f>
        <v>12.16.21</v>
      </c>
      <c r="B159" s="160"/>
      <c r="C159" s="160"/>
      <c r="D159" s="160"/>
      <c r="E159" s="160"/>
      <c r="F159" s="160"/>
      <c r="G159" s="160"/>
    </row>
    <row r="160" ht="11.25" customHeight="1"/>
    <row r="161" spans="1:7" s="44" customFormat="1" ht="12.75">
      <c r="A161" s="43" t="str">
        <f>Quantities!C159</f>
        <v>Road 18 b/ SR 18- Road F</v>
      </c>
      <c r="F161" s="45"/>
      <c r="G161" s="45"/>
    </row>
    <row r="162" spans="1:7" s="38" customFormat="1" ht="12.75">
      <c r="A162" s="44" t="str">
        <f>Quantities!AB177</f>
        <v>Length:  5325 Feet or 1.01 Mile(s)</v>
      </c>
      <c r="B162" s="46"/>
      <c r="C162" s="44"/>
      <c r="D162" s="47"/>
      <c r="F162" s="48"/>
      <c r="G162" s="48"/>
    </row>
    <row r="163" spans="1:7" s="38" customFormat="1" ht="12.75">
      <c r="A163" s="44" t="str">
        <f>Quantities!AB178</f>
        <v>Width:  13 Feet     (Approx. 7750 S.Y. including radius and driveway work)</v>
      </c>
      <c r="B163" s="44"/>
      <c r="C163" s="46"/>
      <c r="D163" s="49"/>
      <c r="F163" s="48"/>
      <c r="G163" s="48"/>
    </row>
    <row r="164" spans="1:7" s="38" customFormat="1" ht="12.75">
      <c r="A164" s="44" t="str">
        <f>Quantities!AB179</f>
        <v>Type: ODOT Spec 823 </v>
      </c>
      <c r="B164" s="50"/>
      <c r="C164" s="50"/>
      <c r="D164" s="50"/>
      <c r="F164" s="48"/>
      <c r="G164" s="48"/>
    </row>
    <row r="165" spans="1:7" s="38" customFormat="1" ht="12.75">
      <c r="A165" s="50"/>
      <c r="B165" s="44"/>
      <c r="C165" s="50"/>
      <c r="D165" s="50"/>
      <c r="F165" s="51"/>
      <c r="G165" s="51"/>
    </row>
    <row r="166" spans="1:7" s="38" customFormat="1" ht="12.75">
      <c r="A166" s="52" t="s">
        <v>1</v>
      </c>
      <c r="B166" s="52" t="s">
        <v>2</v>
      </c>
      <c r="C166" s="52" t="s">
        <v>36</v>
      </c>
      <c r="D166" s="52" t="s">
        <v>3</v>
      </c>
      <c r="E166" s="53" t="s">
        <v>4</v>
      </c>
      <c r="F166" s="54" t="s">
        <v>5</v>
      </c>
      <c r="G166" s="54" t="s">
        <v>6</v>
      </c>
    </row>
    <row r="167" spans="1:7" s="58" customFormat="1" ht="12.75">
      <c r="A167" s="55">
        <f>A136</f>
        <v>1</v>
      </c>
      <c r="B167" s="56">
        <f>LOOKUP($A167,Quantities!$T160:$T175,Quantities!AE160:AE175)</f>
        <v>407</v>
      </c>
      <c r="C167" s="56">
        <f>LOOKUP($A167,Quantities!$T160:$T175,Quantities!AF160:AF175)</f>
        <v>780</v>
      </c>
      <c r="D167" s="56" t="str">
        <f>LOOKUP($A167,Quantities!$T160:$T175,Quantities!AG160:AG175)</f>
        <v>Gal</v>
      </c>
      <c r="E167" s="56" t="str">
        <f>LOOKUP($A167,Quantities!$T160:$T175,Quantities!AR160:AR175)</f>
        <v>Bituminous Tack Coat applied at 0.05 gallons per square yard</v>
      </c>
      <c r="F167" s="57">
        <f>LOOKUP($A167,Quantities!$T160:$T175,Quantities!AQ160:AQ175)</f>
        <v>2.1</v>
      </c>
      <c r="G167" s="57">
        <f aca="true" t="shared" si="10" ref="G167:G182">IF(C167="",0,F167*C167)</f>
        <v>1638</v>
      </c>
    </row>
    <row r="168" spans="1:7" s="58" customFormat="1" ht="25.5">
      <c r="A168" s="55">
        <f aca="true" t="shared" si="11" ref="A168:A182">A167+1</f>
        <v>2</v>
      </c>
      <c r="B168" s="56">
        <f>LOOKUP($A168,Quantities!$T160:$T175,Quantities!AE160:AE175)</f>
        <v>823</v>
      </c>
      <c r="C168" s="56">
        <f>LOOKUP($A168,Quantities!$T160:$T175,Quantities!AF160:AF175)</f>
        <v>162</v>
      </c>
      <c r="D168" s="56" t="str">
        <f>LOOKUP($A168,Quantities!$T160:$T175,Quantities!AG160:AG175)</f>
        <v>C.Y.</v>
      </c>
      <c r="E168" s="56" t="str">
        <f>LOOKUP($A168,Quantities!$T160:$T175,Quantities!AR160:AR175)</f>
        <v>Asphalt intermediate course PG 64-22, Type 1 (823) applied, spread and compacted at the average depth of 0.75 inches</v>
      </c>
      <c r="F168" s="57">
        <f>LOOKUP($A168,Quantities!$T160:$T175,Quantities!AQ160:AQ175)</f>
        <v>185</v>
      </c>
      <c r="G168" s="57">
        <f t="shared" si="10"/>
        <v>29970</v>
      </c>
    </row>
    <row r="169" spans="1:7" s="58" customFormat="1" ht="38.25">
      <c r="A169" s="55">
        <f t="shared" si="11"/>
        <v>3</v>
      </c>
      <c r="B169" s="56">
        <f>LOOKUP($A169,Quantities!$T160:$T175,Quantities!AE160:AE175)</f>
        <v>823</v>
      </c>
      <c r="C169" s="56">
        <f>LOOKUP($A169,Quantities!$T160:$T175,Quantities!AF160:AF175)</f>
        <v>270</v>
      </c>
      <c r="D169" s="56" t="str">
        <f>LOOKUP($A169,Quantities!$T160:$T175,Quantities!AG160:AG175)</f>
        <v>C.Y.</v>
      </c>
      <c r="E169" s="56" t="str">
        <f>LOOKUP($A169,Quantities!$T160:$T175,Quantities!AR160:AR175)</f>
        <v>Asphalt concrete surface course PG 64-22, Type 1 (823) applied, spread and compacted at the average depth of 1.25 inches</v>
      </c>
      <c r="F169" s="57">
        <f>LOOKUP($A169,Quantities!$T160:$T175,Quantities!AQ160:AQ175)</f>
        <v>185</v>
      </c>
      <c r="G169" s="57">
        <f t="shared" si="10"/>
        <v>49950</v>
      </c>
    </row>
    <row r="170" spans="1:7" s="59" customFormat="1" ht="12.75">
      <c r="A170" s="55">
        <f t="shared" si="11"/>
        <v>4</v>
      </c>
      <c r="B170" s="56">
        <f>LOOKUP($A170,Quantities!$T160:$T175,Quantities!AE160:AE175)</f>
        <v>254</v>
      </c>
      <c r="C170" s="56">
        <f>LOOKUP($A170,Quantities!$T160:$T175,Quantities!AF160:AF175)</f>
        <v>120</v>
      </c>
      <c r="D170" s="56" t="str">
        <f>LOOKUP($A170,Quantities!$T160:$T175,Quantities!AG160:AG175)</f>
        <v>S.Y.</v>
      </c>
      <c r="E170" s="56" t="str">
        <f>LOOKUP($A170,Quantities!$T160:$T175,Quantities!AR160:AR175)</f>
        <v>Pavement Planing (20' length including radius)</v>
      </c>
      <c r="F170" s="57">
        <f>LOOKUP($A170,Quantities!$T160:$T175,Quantities!AQ160:AQ175)</f>
        <v>12</v>
      </c>
      <c r="G170" s="57">
        <f t="shared" si="10"/>
        <v>1440</v>
      </c>
    </row>
    <row r="171" spans="1:7" s="58" customFormat="1" ht="12.75">
      <c r="A171" s="55">
        <f t="shared" si="11"/>
        <v>5</v>
      </c>
      <c r="B171" s="56">
        <f>LOOKUP($A171,Quantities!$T160:$T175,Quantities!AE160:AE175)</f>
        <v>614</v>
      </c>
      <c r="C171" s="56">
        <f>LOOKUP($A171,Quantities!$T160:$T175,Quantities!AF160:AF175)</f>
        <v>1</v>
      </c>
      <c r="D171" s="56" t="str">
        <f>LOOKUP($A171,Quantities!$T160:$T175,Quantities!AG160:AG175)</f>
        <v>L.S.</v>
      </c>
      <c r="E171" s="56" t="str">
        <f>LOOKUP($A171,Quantities!$T160:$T175,Quantities!AR160:AR175)</f>
        <v>Maintaining Traffic</v>
      </c>
      <c r="F171" s="57">
        <f>LOOKUP($A171,Quantities!$T160:$T175,Quantities!AQ160:AQ175)</f>
        <v>3000</v>
      </c>
      <c r="G171" s="57">
        <f t="shared" si="10"/>
        <v>3000</v>
      </c>
    </row>
    <row r="172" spans="1:7" s="58" customFormat="1" ht="12.75">
      <c r="A172" s="55">
        <f t="shared" si="11"/>
        <v>6</v>
      </c>
      <c r="B172" s="56">
        <f>LOOKUP($A172,Quantities!$T160:$T175,Quantities!AE160:AE175)</f>
        <v>624</v>
      </c>
      <c r="C172" s="56">
        <f>LOOKUP($A172,Quantities!$T160:$T175,Quantities!AF160:AF175)</f>
        <v>1</v>
      </c>
      <c r="D172" s="56" t="str">
        <f>LOOKUP($A172,Quantities!$T160:$T175,Quantities!AG160:AG175)</f>
        <v>L.S.</v>
      </c>
      <c r="E172" s="56" t="str">
        <f>LOOKUP($A172,Quantities!$T160:$T175,Quantities!AR160:AR175)</f>
        <v>Mobilization</v>
      </c>
      <c r="F172" s="57">
        <f>LOOKUP($A172,Quantities!$T160:$T175,Quantities!AQ160:AQ175)</f>
        <v>1500</v>
      </c>
      <c r="G172" s="57">
        <f t="shared" si="10"/>
        <v>1500</v>
      </c>
    </row>
    <row r="173" spans="1:7" s="58" customFormat="1" ht="12.75">
      <c r="A173" s="55">
        <f t="shared" si="11"/>
        <v>7</v>
      </c>
      <c r="B173" s="56">
        <f>LOOKUP($A173,Quantities!$T160:$T175,Quantities!AE160:AE175)</f>
        <v>103.05</v>
      </c>
      <c r="C173" s="56">
        <f>LOOKUP($A173,Quantities!$T160:$T175,Quantities!AF160:AF175)</f>
        <v>1</v>
      </c>
      <c r="D173" s="56" t="str">
        <f>LOOKUP($A173,Quantities!$T160:$T175,Quantities!AG160:AG175)</f>
        <v>L.S.</v>
      </c>
      <c r="E173" s="56" t="str">
        <f>LOOKUP($A173,Quantities!$T160:$T175,Quantities!AR160:AR175)</f>
        <v>Contract Performance &amp; Payment Bond</v>
      </c>
      <c r="F173" s="57">
        <f>LOOKUP($A173,Quantities!$T160:$T175,Quantities!AQ160:AQ175)</f>
        <v>1002</v>
      </c>
      <c r="G173" s="57">
        <f t="shared" si="10"/>
        <v>1002</v>
      </c>
    </row>
    <row r="174" spans="1:7" s="58" customFormat="1" ht="12.75" hidden="1">
      <c r="A174" s="55">
        <f t="shared" si="11"/>
        <v>8</v>
      </c>
      <c r="B174" s="56">
        <f>LOOKUP($A174,Quantities!$T160:$T175,Quantities!AE160:AE175)</f>
      </c>
      <c r="C174" s="56">
        <f>LOOKUP($A174,Quantities!$T160:$T175,Quantities!AF160:AF175)</f>
      </c>
      <c r="D174" s="56">
        <f>LOOKUP($A174,Quantities!$T160:$T175,Quantities!AG160:AG175)</f>
      </c>
      <c r="E174" s="56">
        <f>LOOKUP($A174,Quantities!$T160:$T175,Quantities!AR160:AR175)</f>
      </c>
      <c r="F174" s="57">
        <f>LOOKUP($A174,Quantities!$T160:$T175,Quantities!AQ160:AQ175)</f>
        <v>0</v>
      </c>
      <c r="G174" s="57">
        <f t="shared" si="10"/>
        <v>0</v>
      </c>
    </row>
    <row r="175" spans="1:7" s="58" customFormat="1" ht="12.75" hidden="1">
      <c r="A175" s="55">
        <f t="shared" si="11"/>
        <v>9</v>
      </c>
      <c r="B175" s="56">
        <f>LOOKUP($A175,Quantities!$T160:$T175,Quantities!AE160:AE175)</f>
      </c>
      <c r="C175" s="56">
        <f>LOOKUP($A175,Quantities!$T160:$T175,Quantities!AF160:AF175)</f>
      </c>
      <c r="D175" s="56">
        <f>LOOKUP($A175,Quantities!$T160:$T175,Quantities!AG160:AG175)</f>
      </c>
      <c r="E175" s="56">
        <f>LOOKUP($A175,Quantities!$T160:$T175,Quantities!AR160:AR175)</f>
      </c>
      <c r="F175" s="57">
        <f>LOOKUP($A175,Quantities!$T160:$T175,Quantities!AQ160:AQ175)</f>
        <v>0</v>
      </c>
      <c r="G175" s="57">
        <f t="shared" si="10"/>
        <v>0</v>
      </c>
    </row>
    <row r="176" spans="1:7" s="58" customFormat="1" ht="12.75" hidden="1">
      <c r="A176" s="55">
        <f t="shared" si="11"/>
        <v>10</v>
      </c>
      <c r="B176" s="56">
        <f>LOOKUP($A176,Quantities!$T160:$T175,Quantities!AE160:AE175)</f>
      </c>
      <c r="C176" s="56">
        <f>LOOKUP($A176,Quantities!$T160:$T175,Quantities!AF160:AF175)</f>
      </c>
      <c r="D176" s="56">
        <f>LOOKUP($A176,Quantities!$T160:$T175,Quantities!AG160:AG175)</f>
      </c>
      <c r="E176" s="56">
        <f>LOOKUP($A176,Quantities!$T160:$T175,Quantities!AR160:AR175)</f>
      </c>
      <c r="F176" s="57">
        <f>LOOKUP($A176,Quantities!$T160:$T175,Quantities!AQ160:AQ175)</f>
        <v>0</v>
      </c>
      <c r="G176" s="57">
        <f t="shared" si="10"/>
        <v>0</v>
      </c>
    </row>
    <row r="177" spans="1:7" s="58" customFormat="1" ht="12.75" hidden="1">
      <c r="A177" s="55">
        <f t="shared" si="11"/>
        <v>11</v>
      </c>
      <c r="B177" s="56">
        <f>LOOKUP($A177,Quantities!$T160:$T175,Quantities!AE160:AE175)</f>
      </c>
      <c r="C177" s="56">
        <f>LOOKUP($A177,Quantities!$T160:$T175,Quantities!AF160:AF175)</f>
      </c>
      <c r="D177" s="56">
        <f>LOOKUP($A177,Quantities!$T160:$T175,Quantities!AG160:AG175)</f>
      </c>
      <c r="E177" s="56">
        <f>LOOKUP($A177,Quantities!$T160:$T175,Quantities!AR160:AR175)</f>
      </c>
      <c r="F177" s="57">
        <f>LOOKUP($A177,Quantities!$T160:$T175,Quantities!AQ160:AQ175)</f>
        <v>0</v>
      </c>
      <c r="G177" s="57">
        <f t="shared" si="10"/>
        <v>0</v>
      </c>
    </row>
    <row r="178" spans="1:7" s="58" customFormat="1" ht="12.75" hidden="1">
      <c r="A178" s="55">
        <f t="shared" si="11"/>
        <v>12</v>
      </c>
      <c r="B178" s="56">
        <f>LOOKUP($A178,Quantities!$T160:$T175,Quantities!AE160:AE175)</f>
      </c>
      <c r="C178" s="56">
        <f>LOOKUP($A178,Quantities!$T160:$T175,Quantities!AF160:AF175)</f>
      </c>
      <c r="D178" s="56">
        <f>LOOKUP($A178,Quantities!$T160:$T175,Quantities!AG160:AG175)</f>
      </c>
      <c r="E178" s="56">
        <f>LOOKUP($A178,Quantities!$T160:$T175,Quantities!AR160:AR175)</f>
      </c>
      <c r="F178" s="57">
        <f>LOOKUP($A178,Quantities!$T160:$T175,Quantities!AQ160:AQ175)</f>
        <v>0</v>
      </c>
      <c r="G178" s="57">
        <f t="shared" si="10"/>
        <v>0</v>
      </c>
    </row>
    <row r="179" spans="1:7" s="58" customFormat="1" ht="12.75" hidden="1">
      <c r="A179" s="55">
        <f t="shared" si="11"/>
        <v>13</v>
      </c>
      <c r="B179" s="56">
        <f>LOOKUP($A179,Quantities!$T160:$T175,Quantities!AE160:AE175)</f>
      </c>
      <c r="C179" s="56">
        <f>LOOKUP($A179,Quantities!$T160:$T175,Quantities!AF160:AF175)</f>
      </c>
      <c r="D179" s="56">
        <f>LOOKUP($A179,Quantities!$T160:$T175,Quantities!AG160:AG175)</f>
      </c>
      <c r="E179" s="56">
        <f>LOOKUP($A179,Quantities!$T160:$T175,Quantities!AR160:AR175)</f>
      </c>
      <c r="F179" s="57">
        <f>LOOKUP($A179,Quantities!$T160:$T175,Quantities!AQ160:AQ175)</f>
        <v>0</v>
      </c>
      <c r="G179" s="57">
        <f t="shared" si="10"/>
        <v>0</v>
      </c>
    </row>
    <row r="180" spans="1:7" s="58" customFormat="1" ht="12.75" hidden="1">
      <c r="A180" s="55">
        <f t="shared" si="11"/>
        <v>14</v>
      </c>
      <c r="B180" s="56">
        <f>LOOKUP($A180,Quantities!$T160:$T175,Quantities!AE160:AE175)</f>
      </c>
      <c r="C180" s="56">
        <f>LOOKUP($A180,Quantities!$T160:$T175,Quantities!AF160:AF175)</f>
      </c>
      <c r="D180" s="56">
        <f>LOOKUP($A180,Quantities!$T160:$T175,Quantities!AG160:AG175)</f>
      </c>
      <c r="E180" s="56">
        <f>LOOKUP($A180,Quantities!$T160:$T175,Quantities!AR160:AR175)</f>
      </c>
      <c r="F180" s="57">
        <f>LOOKUP($A180,Quantities!$T160:$T175,Quantities!AQ160:AQ175)</f>
        <v>0</v>
      </c>
      <c r="G180" s="57">
        <f t="shared" si="10"/>
        <v>0</v>
      </c>
    </row>
    <row r="181" spans="1:7" s="59" customFormat="1" ht="12.75" hidden="1">
      <c r="A181" s="55">
        <f t="shared" si="11"/>
        <v>15</v>
      </c>
      <c r="B181" s="56">
        <f>LOOKUP($A181,Quantities!$T160:$T175,Quantities!AE160:AE175)</f>
      </c>
      <c r="C181" s="56">
        <f>LOOKUP($A181,Quantities!$T160:$T175,Quantities!AF160:AF175)</f>
      </c>
      <c r="D181" s="56">
        <f>LOOKUP($A181,Quantities!$T160:$T175,Quantities!AG160:AG175)</f>
      </c>
      <c r="E181" s="56">
        <f>LOOKUP($A181,Quantities!$T160:$T175,Quantities!AR160:AR175)</f>
      </c>
      <c r="F181" s="57">
        <f>LOOKUP($A181,Quantities!$T160:$T175,Quantities!AQ160:AQ175)</f>
        <v>0</v>
      </c>
      <c r="G181" s="57">
        <f t="shared" si="10"/>
        <v>0</v>
      </c>
    </row>
    <row r="182" spans="1:7" s="59" customFormat="1" ht="12.75" hidden="1">
      <c r="A182" s="55">
        <f t="shared" si="11"/>
        <v>16</v>
      </c>
      <c r="B182" s="56">
        <f>LOOKUP($A182,Quantities!$T160:$T175,Quantities!AE160:AE175)</f>
      </c>
      <c r="C182" s="56">
        <f>LOOKUP($A182,Quantities!$T160:$T175,Quantities!AF160:AF175)</f>
      </c>
      <c r="D182" s="56">
        <f>LOOKUP($A182,Quantities!$T160:$T175,Quantities!AG160:AG175)</f>
      </c>
      <c r="E182" s="56">
        <f>LOOKUP($A182,Quantities!$T160:$T175,Quantities!AR160:AR175)</f>
      </c>
      <c r="F182" s="57">
        <f>LOOKUP($A182,Quantities!$T160:$T175,Quantities!AQ160:AQ175)</f>
        <v>0</v>
      </c>
      <c r="G182" s="57">
        <f t="shared" si="10"/>
        <v>0</v>
      </c>
    </row>
    <row r="183" spans="1:8" ht="12.75">
      <c r="A183" s="50"/>
      <c r="E183" s="60" t="s">
        <v>129</v>
      </c>
      <c r="F183" s="61"/>
      <c r="G183" s="62">
        <f>SUM(G167:G182)</f>
        <v>88500</v>
      </c>
      <c r="H183" s="63">
        <f>G183</f>
        <v>88500</v>
      </c>
    </row>
    <row r="187" spans="1:7" ht="12.75">
      <c r="A187" s="165" t="s">
        <v>13</v>
      </c>
      <c r="B187" s="165"/>
      <c r="C187" s="165"/>
      <c r="D187" s="165"/>
      <c r="E187" s="165"/>
      <c r="F187" s="165"/>
      <c r="G187" s="165"/>
    </row>
    <row r="188" spans="1:7" s="38" customFormat="1" ht="12.75">
      <c r="A188" s="159" t="s">
        <v>0</v>
      </c>
      <c r="B188" s="160"/>
      <c r="C188" s="160"/>
      <c r="D188" s="160"/>
      <c r="E188" s="160"/>
      <c r="F188" s="160"/>
      <c r="G188" s="160"/>
    </row>
    <row r="189" spans="1:7" s="38" customFormat="1" ht="12.75">
      <c r="A189" s="159" t="str">
        <f>A158</f>
        <v>HC Engineer 2022 Road Improvement Project</v>
      </c>
      <c r="B189" s="166"/>
      <c r="C189" s="166"/>
      <c r="D189" s="166"/>
      <c r="E189" s="166"/>
      <c r="F189" s="166"/>
      <c r="G189" s="166"/>
    </row>
    <row r="190" spans="1:7" s="38" customFormat="1" ht="12" customHeight="1">
      <c r="A190" s="167" t="str">
        <f>A159</f>
        <v>12.16.21</v>
      </c>
      <c r="B190" s="160"/>
      <c r="C190" s="160"/>
      <c r="D190" s="160"/>
      <c r="E190" s="160"/>
      <c r="F190" s="160"/>
      <c r="G190" s="160"/>
    </row>
    <row r="191" ht="11.25" customHeight="1"/>
    <row r="192" spans="1:7" s="44" customFormat="1" ht="12.75">
      <c r="A192" s="43" t="str">
        <f>Quantities!C190</f>
        <v>Road 12 b/ Road K- Road O (Old US 6)</v>
      </c>
      <c r="F192" s="45"/>
      <c r="G192" s="45"/>
    </row>
    <row r="193" spans="1:7" s="38" customFormat="1" ht="12.75">
      <c r="A193" s="44" t="str">
        <f>Quantities!AB208</f>
        <v>Length:  21630 Feet or 4.1 Mile(s)</v>
      </c>
      <c r="B193" s="46"/>
      <c r="C193" s="44"/>
      <c r="D193" s="47"/>
      <c r="F193" s="48"/>
      <c r="G193" s="48"/>
    </row>
    <row r="194" spans="1:7" s="38" customFormat="1" ht="12.75">
      <c r="A194" s="44" t="str">
        <f>Quantities!AB209</f>
        <v>Width:  18.75 Feet     (Approx. 45565 S.Y. including radius and driveway work)</v>
      </c>
      <c r="B194" s="44"/>
      <c r="C194" s="46"/>
      <c r="D194" s="49"/>
      <c r="F194" s="48"/>
      <c r="G194" s="48"/>
    </row>
    <row r="195" spans="1:7" s="38" customFormat="1" ht="12.75">
      <c r="A195" s="44" t="str">
        <f>Quantities!AB210</f>
        <v>Type: ODOT Spec 823 </v>
      </c>
      <c r="B195" s="50"/>
      <c r="C195" s="50"/>
      <c r="D195" s="50"/>
      <c r="F195" s="48"/>
      <c r="G195" s="48"/>
    </row>
    <row r="196" spans="1:7" s="38" customFormat="1" ht="12.75">
      <c r="A196" s="50"/>
      <c r="B196" s="44"/>
      <c r="C196" s="50"/>
      <c r="D196" s="50"/>
      <c r="F196" s="51"/>
      <c r="G196" s="51"/>
    </row>
    <row r="197" spans="1:7" s="38" customFormat="1" ht="12.75">
      <c r="A197" s="52" t="s">
        <v>1</v>
      </c>
      <c r="B197" s="52" t="s">
        <v>2</v>
      </c>
      <c r="C197" s="52" t="s">
        <v>36</v>
      </c>
      <c r="D197" s="52" t="s">
        <v>3</v>
      </c>
      <c r="E197" s="53" t="s">
        <v>4</v>
      </c>
      <c r="F197" s="54" t="s">
        <v>5</v>
      </c>
      <c r="G197" s="54" t="s">
        <v>6</v>
      </c>
    </row>
    <row r="198" spans="1:7" s="58" customFormat="1" ht="12.75">
      <c r="A198" s="55">
        <f>A167</f>
        <v>1</v>
      </c>
      <c r="B198" s="56">
        <f>LOOKUP($A198,Quantities!$T191:$T206,Quantities!AE191:AE206)</f>
        <v>407</v>
      </c>
      <c r="C198" s="56">
        <f>LOOKUP($A198,Quantities!$T191:$T206,Quantities!AF191:AF206)</f>
        <v>2280</v>
      </c>
      <c r="D198" s="56" t="str">
        <f>LOOKUP($A198,Quantities!$T191:$T206,Quantities!AG191:AG206)</f>
        <v>Gal</v>
      </c>
      <c r="E198" s="56" t="str">
        <f>LOOKUP($A198,Quantities!$T191:$T206,Quantities!AR191:AR206)</f>
        <v>Bituminous Tack Coat applied at 0.05 gallons per square yard</v>
      </c>
      <c r="F198" s="57">
        <f>LOOKUP($A198,Quantities!$T191:$T206,Quantities!AQ191:AQ206)</f>
        <v>2.1</v>
      </c>
      <c r="G198" s="57">
        <f aca="true" t="shared" si="12" ref="G198:G213">IF(C198="",0,F198*C198)</f>
        <v>4788</v>
      </c>
    </row>
    <row r="199" spans="1:7" s="58" customFormat="1" ht="38.25">
      <c r="A199" s="55">
        <f aca="true" t="shared" si="13" ref="A199:A213">A198+1</f>
        <v>2</v>
      </c>
      <c r="B199" s="56">
        <f>LOOKUP($A199,Quantities!$T191:$T206,Quantities!AE191:AE206)</f>
        <v>823</v>
      </c>
      <c r="C199" s="56">
        <f>LOOKUP($A199,Quantities!$T191:$T206,Quantities!AF191:AF206)</f>
        <v>1899</v>
      </c>
      <c r="D199" s="56" t="str">
        <f>LOOKUP($A199,Quantities!$T191:$T206,Quantities!AG191:AG206)</f>
        <v>C.Y.</v>
      </c>
      <c r="E199" s="56" t="str">
        <f>LOOKUP($A199,Quantities!$T191:$T206,Quantities!AR191:AR206)</f>
        <v>Asphalt concrete surface course PG 64-22, Type 1 (823) applied, spread and compacted at the average depth of 1.5 inches</v>
      </c>
      <c r="F199" s="57">
        <f>LOOKUP($A199,Quantities!$T191:$T206,Quantities!AQ191:AQ206)</f>
        <v>185</v>
      </c>
      <c r="G199" s="57">
        <f t="shared" si="12"/>
        <v>351315</v>
      </c>
    </row>
    <row r="200" spans="1:7" s="58" customFormat="1" ht="12.75">
      <c r="A200" s="55">
        <f t="shared" si="13"/>
        <v>3</v>
      </c>
      <c r="B200" s="56">
        <f>LOOKUP($A200,Quantities!$T191:$T206,Quantities!AE191:AE206)</f>
        <v>254</v>
      </c>
      <c r="C200" s="56">
        <f>LOOKUP($A200,Quantities!$T191:$T206,Quantities!AF191:AF206)</f>
        <v>550</v>
      </c>
      <c r="D200" s="56" t="str">
        <f>LOOKUP($A200,Quantities!$T191:$T206,Quantities!AG191:AG206)</f>
        <v>S.Y.</v>
      </c>
      <c r="E200" s="56" t="str">
        <f>LOOKUP($A200,Quantities!$T191:$T206,Quantities!AR191:AR206)</f>
        <v>Pavement Planing (20' length including radius)</v>
      </c>
      <c r="F200" s="57">
        <f>LOOKUP($A200,Quantities!$T191:$T206,Quantities!AQ191:AQ206)</f>
        <v>12</v>
      </c>
      <c r="G200" s="57">
        <f t="shared" si="12"/>
        <v>6600</v>
      </c>
    </row>
    <row r="201" spans="1:7" s="59" customFormat="1" ht="12.75">
      <c r="A201" s="55">
        <f t="shared" si="13"/>
        <v>4</v>
      </c>
      <c r="B201" s="56">
        <f>LOOKUP($A201,Quantities!$T191:$T206,Quantities!AE191:AE206)</f>
        <v>614</v>
      </c>
      <c r="C201" s="56">
        <f>LOOKUP($A201,Quantities!$T191:$T206,Quantities!AF191:AF206)</f>
        <v>1</v>
      </c>
      <c r="D201" s="56" t="str">
        <f>LOOKUP($A201,Quantities!$T191:$T206,Quantities!AG191:AG206)</f>
        <v>L.S.</v>
      </c>
      <c r="E201" s="56" t="str">
        <f>LOOKUP($A201,Quantities!$T191:$T206,Quantities!AR191:AR206)</f>
        <v>Maintaining Traffic</v>
      </c>
      <c r="F201" s="57">
        <f>LOOKUP($A201,Quantities!$T191:$T206,Quantities!AQ191:AQ206)</f>
        <v>3000</v>
      </c>
      <c r="G201" s="57">
        <f t="shared" si="12"/>
        <v>3000</v>
      </c>
    </row>
    <row r="202" spans="1:7" s="58" customFormat="1" ht="12.75">
      <c r="A202" s="55">
        <f t="shared" si="13"/>
        <v>5</v>
      </c>
      <c r="B202" s="56">
        <f>LOOKUP($A202,Quantities!$T191:$T206,Quantities!AE191:AE206)</f>
        <v>624</v>
      </c>
      <c r="C202" s="56">
        <f>LOOKUP($A202,Quantities!$T191:$T206,Quantities!AF191:AF206)</f>
        <v>1</v>
      </c>
      <c r="D202" s="56" t="str">
        <f>LOOKUP($A202,Quantities!$T191:$T206,Quantities!AG191:AG206)</f>
        <v>L.S.</v>
      </c>
      <c r="E202" s="56" t="str">
        <f>LOOKUP($A202,Quantities!$T191:$T206,Quantities!AR191:AR206)</f>
        <v>Mobilization</v>
      </c>
      <c r="F202" s="57">
        <f>LOOKUP($A202,Quantities!$T191:$T206,Quantities!AQ191:AQ206)</f>
        <v>1500</v>
      </c>
      <c r="G202" s="57">
        <f t="shared" si="12"/>
        <v>1500</v>
      </c>
    </row>
    <row r="203" spans="1:7" s="58" customFormat="1" ht="12.75">
      <c r="A203" s="55">
        <f t="shared" si="13"/>
        <v>6</v>
      </c>
      <c r="B203" s="56">
        <f>LOOKUP($A203,Quantities!$T191:$T206,Quantities!AE191:AE206)</f>
        <v>103.05</v>
      </c>
      <c r="C203" s="56">
        <f>LOOKUP($A203,Quantities!$T191:$T206,Quantities!AF191:AF206)</f>
        <v>1</v>
      </c>
      <c r="D203" s="56" t="str">
        <f>LOOKUP($A203,Quantities!$T191:$T206,Quantities!AG191:AG206)</f>
        <v>L.S.</v>
      </c>
      <c r="E203" s="56" t="str">
        <f>LOOKUP($A203,Quantities!$T191:$T206,Quantities!AR191:AR206)</f>
        <v>Contract Performance &amp; Payment Bond</v>
      </c>
      <c r="F203" s="57">
        <f>LOOKUP($A203,Quantities!$T191:$T206,Quantities!AQ191:AQ206)</f>
        <v>1507</v>
      </c>
      <c r="G203" s="57">
        <f t="shared" si="12"/>
        <v>1507</v>
      </c>
    </row>
    <row r="204" spans="1:7" s="58" customFormat="1" ht="12.75" hidden="1">
      <c r="A204" s="55">
        <f t="shared" si="13"/>
        <v>7</v>
      </c>
      <c r="B204" s="56">
        <f>LOOKUP($A204,Quantities!$T191:$T206,Quantities!AE191:AE206)</f>
      </c>
      <c r="C204" s="56">
        <f>LOOKUP($A204,Quantities!$T191:$T206,Quantities!AF191:AF206)</f>
      </c>
      <c r="D204" s="56">
        <f>LOOKUP($A204,Quantities!$T191:$T206,Quantities!AG191:AG206)</f>
      </c>
      <c r="E204" s="56">
        <f>LOOKUP($A204,Quantities!$T191:$T206,Quantities!AR191:AR206)</f>
      </c>
      <c r="F204" s="57">
        <f>LOOKUP($A204,Quantities!$T191:$T206,Quantities!AQ191:AQ206)</f>
        <v>0</v>
      </c>
      <c r="G204" s="57">
        <f t="shared" si="12"/>
        <v>0</v>
      </c>
    </row>
    <row r="205" spans="1:7" s="58" customFormat="1" ht="12.75" hidden="1">
      <c r="A205" s="55">
        <f t="shared" si="13"/>
        <v>8</v>
      </c>
      <c r="B205" s="56">
        <f>LOOKUP($A205,Quantities!$T191:$T206,Quantities!AE191:AE206)</f>
      </c>
      <c r="C205" s="56">
        <f>LOOKUP($A205,Quantities!$T191:$T206,Quantities!AF191:AF206)</f>
      </c>
      <c r="D205" s="56">
        <f>LOOKUP($A205,Quantities!$T191:$T206,Quantities!AG191:AG206)</f>
      </c>
      <c r="E205" s="56">
        <f>LOOKUP($A205,Quantities!$T191:$T206,Quantities!AR191:AR206)</f>
      </c>
      <c r="F205" s="57">
        <f>LOOKUP($A205,Quantities!$T191:$T206,Quantities!AQ191:AQ206)</f>
        <v>0</v>
      </c>
      <c r="G205" s="57">
        <f t="shared" si="12"/>
        <v>0</v>
      </c>
    </row>
    <row r="206" spans="1:7" s="58" customFormat="1" ht="12.75" hidden="1">
      <c r="A206" s="55">
        <f t="shared" si="13"/>
        <v>9</v>
      </c>
      <c r="B206" s="56">
        <f>LOOKUP($A206,Quantities!$T191:$T206,Quantities!AE191:AE206)</f>
      </c>
      <c r="C206" s="56">
        <f>LOOKUP($A206,Quantities!$T191:$T206,Quantities!AF191:AF206)</f>
      </c>
      <c r="D206" s="56">
        <f>LOOKUP($A206,Quantities!$T191:$T206,Quantities!AG191:AG206)</f>
      </c>
      <c r="E206" s="56">
        <f>LOOKUP($A206,Quantities!$T191:$T206,Quantities!AR191:AR206)</f>
      </c>
      <c r="F206" s="57">
        <f>LOOKUP($A206,Quantities!$T191:$T206,Quantities!AQ191:AQ206)</f>
        <v>0</v>
      </c>
      <c r="G206" s="57">
        <f t="shared" si="12"/>
        <v>0</v>
      </c>
    </row>
    <row r="207" spans="1:7" s="58" customFormat="1" ht="12.75" hidden="1">
      <c r="A207" s="55">
        <f t="shared" si="13"/>
        <v>10</v>
      </c>
      <c r="B207" s="56">
        <f>LOOKUP($A207,Quantities!$T191:$T206,Quantities!AE191:AE206)</f>
      </c>
      <c r="C207" s="56">
        <f>LOOKUP($A207,Quantities!$T191:$T206,Quantities!AF191:AF206)</f>
      </c>
      <c r="D207" s="56">
        <f>LOOKUP($A207,Quantities!$T191:$T206,Quantities!AG191:AG206)</f>
      </c>
      <c r="E207" s="56">
        <f>LOOKUP($A207,Quantities!$T191:$T206,Quantities!AR191:AR206)</f>
      </c>
      <c r="F207" s="57">
        <f>LOOKUP($A207,Quantities!$T191:$T206,Quantities!AQ191:AQ206)</f>
        <v>0</v>
      </c>
      <c r="G207" s="57">
        <f t="shared" si="12"/>
        <v>0</v>
      </c>
    </row>
    <row r="208" spans="1:7" s="58" customFormat="1" ht="12.75" hidden="1">
      <c r="A208" s="55">
        <f t="shared" si="13"/>
        <v>11</v>
      </c>
      <c r="B208" s="56">
        <f>LOOKUP($A208,Quantities!$T191:$T206,Quantities!AE191:AE206)</f>
      </c>
      <c r="C208" s="56">
        <f>LOOKUP($A208,Quantities!$T191:$T206,Quantities!AF191:AF206)</f>
      </c>
      <c r="D208" s="56">
        <f>LOOKUP($A208,Quantities!$T191:$T206,Quantities!AG191:AG206)</f>
      </c>
      <c r="E208" s="56">
        <f>LOOKUP($A208,Quantities!$T191:$T206,Quantities!AR191:AR206)</f>
      </c>
      <c r="F208" s="57">
        <f>LOOKUP($A208,Quantities!$T191:$T206,Quantities!AQ191:AQ206)</f>
        <v>0</v>
      </c>
      <c r="G208" s="57">
        <f t="shared" si="12"/>
        <v>0</v>
      </c>
    </row>
    <row r="209" spans="1:7" s="58" customFormat="1" ht="12.75" hidden="1">
      <c r="A209" s="55">
        <f t="shared" si="13"/>
        <v>12</v>
      </c>
      <c r="B209" s="56">
        <f>LOOKUP($A209,Quantities!$T191:$T206,Quantities!AE191:AE206)</f>
      </c>
      <c r="C209" s="56">
        <f>LOOKUP($A209,Quantities!$T191:$T206,Quantities!AF191:AF206)</f>
      </c>
      <c r="D209" s="56">
        <f>LOOKUP($A209,Quantities!$T191:$T206,Quantities!AG191:AG206)</f>
      </c>
      <c r="E209" s="56">
        <f>LOOKUP($A209,Quantities!$T191:$T206,Quantities!AR191:AR206)</f>
      </c>
      <c r="F209" s="57">
        <f>LOOKUP($A209,Quantities!$T191:$T206,Quantities!AQ191:AQ206)</f>
        <v>0</v>
      </c>
      <c r="G209" s="57">
        <f t="shared" si="12"/>
        <v>0</v>
      </c>
    </row>
    <row r="210" spans="1:7" s="58" customFormat="1" ht="12.75" hidden="1">
      <c r="A210" s="55">
        <f t="shared" si="13"/>
        <v>13</v>
      </c>
      <c r="B210" s="56">
        <f>LOOKUP($A210,Quantities!$T191:$T206,Quantities!AE191:AE206)</f>
      </c>
      <c r="C210" s="56">
        <f>LOOKUP($A210,Quantities!$T191:$T206,Quantities!AF191:AF206)</f>
      </c>
      <c r="D210" s="56">
        <f>LOOKUP($A210,Quantities!$T191:$T206,Quantities!AG191:AG206)</f>
      </c>
      <c r="E210" s="56">
        <f>LOOKUP($A210,Quantities!$T191:$T206,Quantities!AR191:AR206)</f>
      </c>
      <c r="F210" s="57">
        <f>LOOKUP($A210,Quantities!$T191:$T206,Quantities!AQ191:AQ206)</f>
        <v>0</v>
      </c>
      <c r="G210" s="57">
        <f t="shared" si="12"/>
        <v>0</v>
      </c>
    </row>
    <row r="211" spans="1:7" s="58" customFormat="1" ht="12.75" hidden="1">
      <c r="A211" s="55">
        <f t="shared" si="13"/>
        <v>14</v>
      </c>
      <c r="B211" s="56">
        <f>LOOKUP($A211,Quantities!$T191:$T206,Quantities!AE191:AE206)</f>
      </c>
      <c r="C211" s="56">
        <f>LOOKUP($A211,Quantities!$T191:$T206,Quantities!AF191:AF206)</f>
      </c>
      <c r="D211" s="56">
        <f>LOOKUP($A211,Quantities!$T191:$T206,Quantities!AG191:AG206)</f>
      </c>
      <c r="E211" s="56">
        <f>LOOKUP($A211,Quantities!$T191:$T206,Quantities!AR191:AR206)</f>
      </c>
      <c r="F211" s="57">
        <f>LOOKUP($A211,Quantities!$T191:$T206,Quantities!AQ191:AQ206)</f>
        <v>0</v>
      </c>
      <c r="G211" s="57">
        <f t="shared" si="12"/>
        <v>0</v>
      </c>
    </row>
    <row r="212" spans="1:7" s="59" customFormat="1" ht="12.75" hidden="1">
      <c r="A212" s="55">
        <f t="shared" si="13"/>
        <v>15</v>
      </c>
      <c r="B212" s="56">
        <f>LOOKUP($A212,Quantities!$T191:$T206,Quantities!AE191:AE206)</f>
      </c>
      <c r="C212" s="56">
        <f>LOOKUP($A212,Quantities!$T191:$T206,Quantities!AF191:AF206)</f>
      </c>
      <c r="D212" s="56">
        <f>LOOKUP($A212,Quantities!$T191:$T206,Quantities!AG191:AG206)</f>
      </c>
      <c r="E212" s="56">
        <f>LOOKUP($A212,Quantities!$T191:$T206,Quantities!AR191:AR206)</f>
      </c>
      <c r="F212" s="57">
        <f>LOOKUP($A212,Quantities!$T191:$T206,Quantities!AQ191:AQ206)</f>
        <v>0</v>
      </c>
      <c r="G212" s="57">
        <f t="shared" si="12"/>
        <v>0</v>
      </c>
    </row>
    <row r="213" spans="1:7" s="59" customFormat="1" ht="12.75" hidden="1">
      <c r="A213" s="55">
        <f t="shared" si="13"/>
        <v>16</v>
      </c>
      <c r="B213" s="56">
        <f>LOOKUP($A213,Quantities!$T191:$T206,Quantities!AE191:AE206)</f>
      </c>
      <c r="C213" s="56">
        <f>LOOKUP($A213,Quantities!$T191:$T206,Quantities!AF191:AF206)</f>
      </c>
      <c r="D213" s="56">
        <f>LOOKUP($A213,Quantities!$T191:$T206,Quantities!AG191:AG206)</f>
      </c>
      <c r="E213" s="56">
        <f>LOOKUP($A213,Quantities!$T191:$T206,Quantities!AR191:AR206)</f>
      </c>
      <c r="F213" s="57">
        <f>LOOKUP($A213,Quantities!$T191:$T206,Quantities!AQ191:AQ206)</f>
        <v>0</v>
      </c>
      <c r="G213" s="57">
        <f t="shared" si="12"/>
        <v>0</v>
      </c>
    </row>
    <row r="214" spans="1:8" ht="12.75">
      <c r="A214" s="50"/>
      <c r="E214" s="60" t="s">
        <v>129</v>
      </c>
      <c r="F214" s="61"/>
      <c r="G214" s="62">
        <f>SUM(G198:G213)</f>
        <v>368710</v>
      </c>
      <c r="H214" s="63">
        <f>G214</f>
        <v>368710</v>
      </c>
    </row>
    <row r="218" spans="1:7" ht="12.75">
      <c r="A218" s="165" t="s">
        <v>13</v>
      </c>
      <c r="B218" s="165"/>
      <c r="C218" s="165"/>
      <c r="D218" s="165"/>
      <c r="E218" s="165"/>
      <c r="F218" s="165"/>
      <c r="G218" s="165"/>
    </row>
    <row r="219" spans="1:7" s="38" customFormat="1" ht="12.75">
      <c r="A219" s="159" t="s">
        <v>0</v>
      </c>
      <c r="B219" s="160"/>
      <c r="C219" s="160"/>
      <c r="D219" s="160"/>
      <c r="E219" s="160"/>
      <c r="F219" s="160"/>
      <c r="G219" s="160"/>
    </row>
    <row r="220" spans="1:7" s="38" customFormat="1" ht="12.75">
      <c r="A220" s="159" t="str">
        <f>A189</f>
        <v>HC Engineer 2022 Road Improvement Project</v>
      </c>
      <c r="B220" s="166"/>
      <c r="C220" s="166"/>
      <c r="D220" s="166"/>
      <c r="E220" s="166"/>
      <c r="F220" s="166"/>
      <c r="G220" s="166"/>
    </row>
    <row r="221" spans="1:7" s="38" customFormat="1" ht="12" customHeight="1">
      <c r="A221" s="167" t="str">
        <f>A190</f>
        <v>12.16.21</v>
      </c>
      <c r="B221" s="160"/>
      <c r="C221" s="160"/>
      <c r="D221" s="160"/>
      <c r="E221" s="160"/>
      <c r="F221" s="160"/>
      <c r="G221" s="160"/>
    </row>
    <row r="222" ht="11.25" customHeight="1"/>
    <row r="223" spans="1:7" s="44" customFormat="1" ht="12.75">
      <c r="A223" s="43" t="str">
        <f>Quantities!C221</f>
        <v>Road J b/ Road 15- Road 16</v>
      </c>
      <c r="F223" s="45"/>
      <c r="G223" s="45"/>
    </row>
    <row r="224" spans="1:7" s="38" customFormat="1" ht="12.75">
      <c r="A224" s="44" t="str">
        <f>Quantities!AB239</f>
        <v>Length:  5400 Feet or 1.02 Mile(s)</v>
      </c>
      <c r="B224" s="46"/>
      <c r="C224" s="44"/>
      <c r="D224" s="47"/>
      <c r="F224" s="48"/>
      <c r="G224" s="48"/>
    </row>
    <row r="225" spans="1:7" s="38" customFormat="1" ht="12.75">
      <c r="A225" s="44" t="str">
        <f>Quantities!AB240</f>
        <v>Width:  16 Feet     (Approx. 9705 S.Y. including radius and driveway work)</v>
      </c>
      <c r="B225" s="44"/>
      <c r="C225" s="46"/>
      <c r="D225" s="49"/>
      <c r="F225" s="48"/>
      <c r="G225" s="48"/>
    </row>
    <row r="226" spans="1:7" s="38" customFormat="1" ht="12.75">
      <c r="A226" s="44" t="str">
        <f>Quantities!AB241</f>
        <v>Type: ODOT Spec 823, with Spec 301 Widening </v>
      </c>
      <c r="B226" s="50"/>
      <c r="C226" s="50"/>
      <c r="D226" s="50"/>
      <c r="F226" s="48"/>
      <c r="G226" s="48"/>
    </row>
    <row r="227" spans="1:7" s="38" customFormat="1" ht="12.75">
      <c r="A227" s="50"/>
      <c r="B227" s="44"/>
      <c r="C227" s="50"/>
      <c r="D227" s="50"/>
      <c r="F227" s="51"/>
      <c r="G227" s="51"/>
    </row>
    <row r="228" spans="1:7" s="38" customFormat="1" ht="12.75">
      <c r="A228" s="52" t="s">
        <v>1</v>
      </c>
      <c r="B228" s="52" t="s">
        <v>2</v>
      </c>
      <c r="C228" s="52" t="s">
        <v>36</v>
      </c>
      <c r="D228" s="52" t="s">
        <v>3</v>
      </c>
      <c r="E228" s="53" t="s">
        <v>4</v>
      </c>
      <c r="F228" s="54" t="s">
        <v>5</v>
      </c>
      <c r="G228" s="54" t="s">
        <v>6</v>
      </c>
    </row>
    <row r="229" spans="1:7" s="58" customFormat="1" ht="12.75">
      <c r="A229" s="55">
        <f>A198</f>
        <v>1</v>
      </c>
      <c r="B229" s="56">
        <f>LOOKUP($A229,Quantities!$T222:$T237,Quantities!AE222:AE237)</f>
        <v>202</v>
      </c>
      <c r="C229" s="56">
        <f>LOOKUP($A229,Quantities!$T222:$T237,Quantities!AF222:AF237)</f>
        <v>6</v>
      </c>
      <c r="D229" s="56" t="str">
        <f>LOOKUP($A229,Quantities!$T222:$T237,Quantities!AG222:AG237)</f>
        <v>EA</v>
      </c>
      <c r="E229" s="56" t="str">
        <f>LOOKUP($A229,Quantities!$T222:$T237,Quantities!AR222:AR237)</f>
        <v>Remove &amp; Relocate Mailbox/Paperbox</v>
      </c>
      <c r="F229" s="57">
        <f>LOOKUP($A229,Quantities!$T222:$T237,Quantities!AQ222:AQ237)</f>
        <v>250</v>
      </c>
      <c r="G229" s="57">
        <f aca="true" t="shared" si="14" ref="G229:G244">IF(C229="",0,F229*C229)</f>
        <v>1500</v>
      </c>
    </row>
    <row r="230" spans="1:7" s="58" customFormat="1" ht="25.5">
      <c r="A230" s="55">
        <f aca="true" t="shared" si="15" ref="A230:A244">A229+1</f>
        <v>2</v>
      </c>
      <c r="B230" s="56">
        <f>LOOKUP($A230,Quantities!$T222:$T237,Quantities!AE222:AE237)</f>
        <v>203</v>
      </c>
      <c r="C230" s="56">
        <f>LOOKUP($A230,Quantities!$T222:$T237,Quantities!AF222:AF237)</f>
        <v>333</v>
      </c>
      <c r="D230" s="56" t="str">
        <f>LOOKUP($A230,Quantities!$T222:$T237,Quantities!AG222:AG237)</f>
        <v>CY</v>
      </c>
      <c r="E230" s="56" t="str">
        <f>LOOKUP($A230,Quantities!$T222:$T237,Quantities!AR222:AR237)</f>
        <v>Excavation (4' Widening , 2 Feet Each Side and Mailbox Turnout)</v>
      </c>
      <c r="F230" s="57">
        <f>LOOKUP($A230,Quantities!$T222:$T237,Quantities!AQ222:AQ237)</f>
        <v>43</v>
      </c>
      <c r="G230" s="57">
        <f t="shared" si="14"/>
        <v>14319</v>
      </c>
    </row>
    <row r="231" spans="1:7" s="58" customFormat="1" ht="12.75">
      <c r="A231" s="55">
        <f t="shared" si="15"/>
        <v>3</v>
      </c>
      <c r="B231" s="56">
        <f>LOOKUP($A231,Quantities!$T222:$T237,Quantities!AE222:AE237)</f>
        <v>204</v>
      </c>
      <c r="C231" s="56">
        <f>LOOKUP($A231,Quantities!$T222:$T237,Quantities!AF222:AF237)</f>
        <v>2400</v>
      </c>
      <c r="D231" s="56" t="str">
        <f>LOOKUP($A231,Quantities!$T222:$T237,Quantities!AG222:AG237)</f>
        <v>SY</v>
      </c>
      <c r="E231" s="56" t="str">
        <f>LOOKUP($A231,Quantities!$T222:$T237,Quantities!AR222:AR237)</f>
        <v>Subgrade Compaction</v>
      </c>
      <c r="F231" s="57">
        <f>LOOKUP($A231,Quantities!$T222:$T237,Quantities!AQ222:AQ237)</f>
        <v>1</v>
      </c>
      <c r="G231" s="57">
        <f t="shared" si="14"/>
        <v>2400</v>
      </c>
    </row>
    <row r="232" spans="1:7" s="59" customFormat="1" ht="25.5">
      <c r="A232" s="55">
        <f t="shared" si="15"/>
        <v>4</v>
      </c>
      <c r="B232" s="56">
        <f>LOOKUP($A232,Quantities!$T222:$T237,Quantities!AE222:AE237)</f>
        <v>301</v>
      </c>
      <c r="C232" s="56">
        <f>LOOKUP($A232,Quantities!$T222:$T237,Quantities!AF222:AF237)</f>
        <v>333</v>
      </c>
      <c r="D232" s="56" t="str">
        <f>LOOKUP($A232,Quantities!$T222:$T237,Quantities!AG222:AG237)</f>
        <v>CY</v>
      </c>
      <c r="E232" s="56" t="str">
        <f>LOOKUP($A232,Quantities!$T222:$T237,Quantities!AR222:AR237)</f>
        <v>Bituminous Aggregate Base, (5" average compacted depth, includes 407 tack coat on vertical face)</v>
      </c>
      <c r="F232" s="57">
        <f>LOOKUP($A232,Quantities!$T222:$T237,Quantities!AQ222:AQ237)</f>
        <v>185</v>
      </c>
      <c r="G232" s="57">
        <f t="shared" si="14"/>
        <v>61605</v>
      </c>
    </row>
    <row r="233" spans="1:7" s="58" customFormat="1" ht="12.75">
      <c r="A233" s="55">
        <f t="shared" si="15"/>
        <v>5</v>
      </c>
      <c r="B233" s="56">
        <f>LOOKUP($A233,Quantities!$T222:$T237,Quantities!AE222:AE237)</f>
        <v>407</v>
      </c>
      <c r="C233" s="56">
        <f>LOOKUP($A233,Quantities!$T222:$T237,Quantities!AF222:AF237)</f>
        <v>485</v>
      </c>
      <c r="D233" s="56" t="str">
        <f>LOOKUP($A233,Quantities!$T222:$T237,Quantities!AG222:AG237)</f>
        <v>Gal</v>
      </c>
      <c r="E233" s="56" t="str">
        <f>LOOKUP($A233,Quantities!$T222:$T237,Quantities!AR222:AR237)</f>
        <v>Bituminous Tack Coat applied at 0.05 gallons per square yard</v>
      </c>
      <c r="F233" s="57">
        <f>LOOKUP($A233,Quantities!$T222:$T237,Quantities!AQ222:AQ237)</f>
        <v>2.1</v>
      </c>
      <c r="G233" s="57">
        <f t="shared" si="14"/>
        <v>1018.5</v>
      </c>
    </row>
    <row r="234" spans="1:7" s="58" customFormat="1" ht="38.25">
      <c r="A234" s="55">
        <f t="shared" si="15"/>
        <v>6</v>
      </c>
      <c r="B234" s="56">
        <f>LOOKUP($A234,Quantities!$T222:$T237,Quantities!AE222:AE237)</f>
        <v>441</v>
      </c>
      <c r="C234" s="56">
        <f>LOOKUP($A234,Quantities!$T222:$T237,Quantities!AF222:AF237)</f>
        <v>404</v>
      </c>
      <c r="D234" s="56" t="str">
        <f>LOOKUP($A234,Quantities!$T222:$T237,Quantities!AG222:AG237)</f>
        <v>C.Y.</v>
      </c>
      <c r="E234" s="56" t="str">
        <f>LOOKUP($A234,Quantities!$T222:$T237,Quantities!AR222:AR237)</f>
        <v>Asphalt concrete surface course PG 64-22, Type 1 (823) applied, spread and compacted at the average depth of 1.5 inches</v>
      </c>
      <c r="F234" s="57">
        <f>LOOKUP($A234,Quantities!$T222:$T237,Quantities!AQ222:AQ237)</f>
        <v>185</v>
      </c>
      <c r="G234" s="57">
        <f t="shared" si="14"/>
        <v>74740</v>
      </c>
    </row>
    <row r="235" spans="1:7" s="58" customFormat="1" ht="12.75">
      <c r="A235" s="55">
        <f t="shared" si="15"/>
        <v>7</v>
      </c>
      <c r="B235" s="56">
        <f>LOOKUP($A235,Quantities!$T222:$T237,Quantities!AE222:AE237)</f>
        <v>254</v>
      </c>
      <c r="C235" s="56">
        <f>LOOKUP($A235,Quantities!$T222:$T237,Quantities!AF222:AF237)</f>
        <v>550</v>
      </c>
      <c r="D235" s="56" t="str">
        <f>LOOKUP($A235,Quantities!$T222:$T237,Quantities!AG222:AG237)</f>
        <v>S.Y.</v>
      </c>
      <c r="E235" s="56" t="str">
        <f>LOOKUP($A235,Quantities!$T222:$T237,Quantities!AR222:AR237)</f>
        <v>Pavement Planing ( 20' including radius)</v>
      </c>
      <c r="F235" s="57">
        <f>LOOKUP($A235,Quantities!$T222:$T237,Quantities!AQ222:AQ237)</f>
        <v>12</v>
      </c>
      <c r="G235" s="57">
        <f t="shared" si="14"/>
        <v>6600</v>
      </c>
    </row>
    <row r="236" spans="1:7" s="58" customFormat="1" ht="12.75">
      <c r="A236" s="55">
        <f t="shared" si="15"/>
        <v>8</v>
      </c>
      <c r="B236" s="56">
        <f>LOOKUP($A236,Quantities!$T222:$T237,Quantities!AE222:AE237)</f>
        <v>614</v>
      </c>
      <c r="C236" s="56">
        <f>LOOKUP($A236,Quantities!$T222:$T237,Quantities!AF222:AF237)</f>
        <v>1</v>
      </c>
      <c r="D236" s="56" t="str">
        <f>LOOKUP($A236,Quantities!$T222:$T237,Quantities!AG222:AG237)</f>
        <v>L.S.</v>
      </c>
      <c r="E236" s="56" t="str">
        <f>LOOKUP($A236,Quantities!$T222:$T237,Quantities!AR222:AR237)</f>
        <v>Maintaining Traffic</v>
      </c>
      <c r="F236" s="57">
        <f>LOOKUP($A236,Quantities!$T222:$T237,Quantities!AQ222:AQ237)</f>
        <v>3000</v>
      </c>
      <c r="G236" s="57">
        <f t="shared" si="14"/>
        <v>3000</v>
      </c>
    </row>
    <row r="237" spans="1:7" s="58" customFormat="1" ht="12.75">
      <c r="A237" s="55">
        <f t="shared" si="15"/>
        <v>9</v>
      </c>
      <c r="B237" s="56">
        <f>LOOKUP($A237,Quantities!$T222:$T237,Quantities!AE222:AE237)</f>
        <v>624</v>
      </c>
      <c r="C237" s="56">
        <f>LOOKUP($A237,Quantities!$T222:$T237,Quantities!AF222:AF237)</f>
        <v>1</v>
      </c>
      <c r="D237" s="56" t="str">
        <f>LOOKUP($A237,Quantities!$T222:$T237,Quantities!AG222:AG237)</f>
        <v>L.S.</v>
      </c>
      <c r="E237" s="56" t="str">
        <f>LOOKUP($A237,Quantities!$T222:$T237,Quantities!AR222:AR237)</f>
        <v>Mobilization</v>
      </c>
      <c r="F237" s="57">
        <f>LOOKUP($A237,Quantities!$T222:$T237,Quantities!AQ222:AQ237)</f>
        <v>3500</v>
      </c>
      <c r="G237" s="57">
        <f t="shared" si="14"/>
        <v>3500</v>
      </c>
    </row>
    <row r="238" spans="1:7" s="58" customFormat="1" ht="12.75">
      <c r="A238" s="55">
        <f t="shared" si="15"/>
        <v>10</v>
      </c>
      <c r="B238" s="56">
        <f>LOOKUP($A238,Quantities!$T222:$T237,Quantities!AE222:AE237)</f>
        <v>103.05</v>
      </c>
      <c r="C238" s="56">
        <f>LOOKUP($A238,Quantities!$T222:$T237,Quantities!AF222:AF237)</f>
        <v>1</v>
      </c>
      <c r="D238" s="56" t="str">
        <f>LOOKUP($A238,Quantities!$T222:$T237,Quantities!AG222:AG237)</f>
        <v>L.S.</v>
      </c>
      <c r="E238" s="56" t="str">
        <f>LOOKUP($A238,Quantities!$T222:$T237,Quantities!AR222:AR237)</f>
        <v>Contract Performance &amp; Payment Bond</v>
      </c>
      <c r="F238" s="57">
        <f>LOOKUP($A238,Quantities!$T222:$T237,Quantities!AQ222:AQ237)</f>
        <v>1002.5</v>
      </c>
      <c r="G238" s="57">
        <f t="shared" si="14"/>
        <v>1002.5</v>
      </c>
    </row>
    <row r="239" spans="1:7" s="58" customFormat="1" ht="12.75" hidden="1">
      <c r="A239" s="55">
        <f t="shared" si="15"/>
        <v>11</v>
      </c>
      <c r="B239" s="56">
        <f>LOOKUP($A239,Quantities!$T222:$T237,Quantities!AE222:AE237)</f>
      </c>
      <c r="C239" s="56">
        <f>LOOKUP($A239,Quantities!$T222:$T237,Quantities!AF222:AF237)</f>
      </c>
      <c r="D239" s="56">
        <f>LOOKUP($A239,Quantities!$T222:$T237,Quantities!AG222:AG237)</f>
      </c>
      <c r="E239" s="56">
        <f>LOOKUP($A239,Quantities!$T222:$T237,Quantities!AR222:AR237)</f>
      </c>
      <c r="F239" s="57">
        <f>LOOKUP($A239,Quantities!$T222:$T237,Quantities!AQ222:AQ237)</f>
        <v>0</v>
      </c>
      <c r="G239" s="57">
        <f t="shared" si="14"/>
        <v>0</v>
      </c>
    </row>
    <row r="240" spans="1:7" s="58" customFormat="1" ht="12.75" hidden="1">
      <c r="A240" s="55">
        <f t="shared" si="15"/>
        <v>12</v>
      </c>
      <c r="B240" s="56">
        <f>LOOKUP($A240,Quantities!$T222:$T237,Quantities!AE222:AE237)</f>
      </c>
      <c r="C240" s="56">
        <f>LOOKUP($A240,Quantities!$T222:$T237,Quantities!AF222:AF237)</f>
      </c>
      <c r="D240" s="56">
        <f>LOOKUP($A240,Quantities!$T222:$T237,Quantities!AG222:AG237)</f>
      </c>
      <c r="E240" s="56">
        <f>LOOKUP($A240,Quantities!$T222:$T237,Quantities!AR222:AR237)</f>
      </c>
      <c r="F240" s="57">
        <f>LOOKUP($A240,Quantities!$T222:$T237,Quantities!AQ222:AQ237)</f>
        <v>0</v>
      </c>
      <c r="G240" s="57">
        <f t="shared" si="14"/>
        <v>0</v>
      </c>
    </row>
    <row r="241" spans="1:7" s="58" customFormat="1" ht="12.75" hidden="1">
      <c r="A241" s="55">
        <f t="shared" si="15"/>
        <v>13</v>
      </c>
      <c r="B241" s="56">
        <f>LOOKUP($A241,Quantities!$T222:$T237,Quantities!AE222:AE237)</f>
      </c>
      <c r="C241" s="56">
        <f>LOOKUP($A241,Quantities!$T222:$T237,Quantities!AF222:AF237)</f>
      </c>
      <c r="D241" s="56">
        <f>LOOKUP($A241,Quantities!$T222:$T237,Quantities!AG222:AG237)</f>
      </c>
      <c r="E241" s="56">
        <f>LOOKUP($A241,Quantities!$T222:$T237,Quantities!AR222:AR237)</f>
      </c>
      <c r="F241" s="57">
        <f>LOOKUP($A241,Quantities!$T222:$T237,Quantities!AQ222:AQ237)</f>
        <v>0</v>
      </c>
      <c r="G241" s="57">
        <f t="shared" si="14"/>
        <v>0</v>
      </c>
    </row>
    <row r="242" spans="1:7" s="58" customFormat="1" ht="12.75" hidden="1">
      <c r="A242" s="55">
        <f t="shared" si="15"/>
        <v>14</v>
      </c>
      <c r="B242" s="56">
        <f>LOOKUP($A242,Quantities!$T222:$T237,Quantities!AE222:AE237)</f>
      </c>
      <c r="C242" s="56">
        <f>LOOKUP($A242,Quantities!$T222:$T237,Quantities!AF222:AF237)</f>
      </c>
      <c r="D242" s="56">
        <f>LOOKUP($A242,Quantities!$T222:$T237,Quantities!AG222:AG237)</f>
      </c>
      <c r="E242" s="56">
        <f>LOOKUP($A242,Quantities!$T222:$T237,Quantities!AR222:AR237)</f>
      </c>
      <c r="F242" s="57">
        <f>LOOKUP($A242,Quantities!$T222:$T237,Quantities!AQ222:AQ237)</f>
        <v>0</v>
      </c>
      <c r="G242" s="57">
        <f t="shared" si="14"/>
        <v>0</v>
      </c>
    </row>
    <row r="243" spans="1:7" s="59" customFormat="1" ht="12.75" hidden="1">
      <c r="A243" s="55">
        <f t="shared" si="15"/>
        <v>15</v>
      </c>
      <c r="B243" s="56">
        <f>LOOKUP($A243,Quantities!$T222:$T237,Quantities!AE222:AE237)</f>
      </c>
      <c r="C243" s="56">
        <f>LOOKUP($A243,Quantities!$T222:$T237,Quantities!AF222:AF237)</f>
      </c>
      <c r="D243" s="56">
        <f>LOOKUP($A243,Quantities!$T222:$T237,Quantities!AG222:AG237)</f>
      </c>
      <c r="E243" s="56">
        <f>LOOKUP($A243,Quantities!$T222:$T237,Quantities!AR222:AR237)</f>
      </c>
      <c r="F243" s="57">
        <f>LOOKUP($A243,Quantities!$T222:$T237,Quantities!AQ222:AQ237)</f>
        <v>0</v>
      </c>
      <c r="G243" s="57">
        <f t="shared" si="14"/>
        <v>0</v>
      </c>
    </row>
    <row r="244" spans="1:7" s="59" customFormat="1" ht="12.75" hidden="1">
      <c r="A244" s="55">
        <f t="shared" si="15"/>
        <v>16</v>
      </c>
      <c r="B244" s="56">
        <f>LOOKUP($A244,Quantities!$T222:$T237,Quantities!AE222:AE237)</f>
      </c>
      <c r="C244" s="56">
        <f>LOOKUP($A244,Quantities!$T222:$T237,Quantities!AF222:AF237)</f>
      </c>
      <c r="D244" s="56">
        <f>LOOKUP($A244,Quantities!$T222:$T237,Quantities!AG222:AG237)</f>
      </c>
      <c r="E244" s="56">
        <f>LOOKUP($A244,Quantities!$T222:$T237,Quantities!AR222:AR237)</f>
      </c>
      <c r="F244" s="57">
        <f>LOOKUP($A244,Quantities!$T222:$T237,Quantities!AQ222:AQ237)</f>
        <v>0</v>
      </c>
      <c r="G244" s="57">
        <f t="shared" si="14"/>
        <v>0</v>
      </c>
    </row>
    <row r="245" spans="1:8" ht="12.75">
      <c r="A245" s="50"/>
      <c r="E245" s="60" t="s">
        <v>129</v>
      </c>
      <c r="F245" s="61"/>
      <c r="G245" s="62">
        <f>SUM(G229:G244)</f>
        <v>169685</v>
      </c>
      <c r="H245" s="63">
        <f>G245</f>
        <v>169685</v>
      </c>
    </row>
    <row r="249" spans="1:7" ht="12.75" hidden="1">
      <c r="A249" s="165" t="s">
        <v>13</v>
      </c>
      <c r="B249" s="165"/>
      <c r="C249" s="165"/>
      <c r="D249" s="165"/>
      <c r="E249" s="165"/>
      <c r="F249" s="165"/>
      <c r="G249" s="165"/>
    </row>
    <row r="250" spans="1:7" s="38" customFormat="1" ht="12.75" hidden="1">
      <c r="A250" s="159" t="s">
        <v>0</v>
      </c>
      <c r="B250" s="160"/>
      <c r="C250" s="160"/>
      <c r="D250" s="160"/>
      <c r="E250" s="160"/>
      <c r="F250" s="160"/>
      <c r="G250" s="160"/>
    </row>
    <row r="251" spans="1:7" s="38" customFormat="1" ht="12.75" hidden="1">
      <c r="A251" s="159" t="str">
        <f>A220</f>
        <v>HC Engineer 2022 Road Improvement Project</v>
      </c>
      <c r="B251" s="166"/>
      <c r="C251" s="166"/>
      <c r="D251" s="166"/>
      <c r="E251" s="166"/>
      <c r="F251" s="166"/>
      <c r="G251" s="166"/>
    </row>
    <row r="252" spans="1:7" s="38" customFormat="1" ht="12" customHeight="1" hidden="1">
      <c r="A252" s="167" t="str">
        <f>A221</f>
        <v>12.16.21</v>
      </c>
      <c r="B252" s="160"/>
      <c r="C252" s="160"/>
      <c r="D252" s="160"/>
      <c r="E252" s="160"/>
      <c r="F252" s="160"/>
      <c r="G252" s="160"/>
    </row>
    <row r="253" ht="11.25" customHeight="1" hidden="1"/>
    <row r="254" spans="1:7" s="44" customFormat="1" ht="12.75" hidden="1">
      <c r="A254" s="43">
        <f>Quantities!C252</f>
        <v>0</v>
      </c>
      <c r="F254" s="45"/>
      <c r="G254" s="45"/>
    </row>
    <row r="255" spans="1:7" s="38" customFormat="1" ht="12.75" hidden="1">
      <c r="A255" s="44" t="str">
        <f>Quantities!AB270</f>
        <v>Length:  0 Feet or 0 Mile(s)</v>
      </c>
      <c r="B255" s="46"/>
      <c r="C255" s="44"/>
      <c r="D255" s="47"/>
      <c r="F255" s="48"/>
      <c r="G255" s="48"/>
    </row>
    <row r="256" spans="1:7" s="38" customFormat="1" ht="12.75" hidden="1">
      <c r="A256" s="44" t="str">
        <f>Quantities!AB271</f>
        <v>Width:  0 Feet     (Approx. 0 S.Y. including radius and driveway work)</v>
      </c>
      <c r="B256" s="44"/>
      <c r="C256" s="46"/>
      <c r="D256" s="49"/>
      <c r="F256" s="48"/>
      <c r="G256" s="48"/>
    </row>
    <row r="257" spans="1:7" s="38" customFormat="1" ht="12.75" hidden="1">
      <c r="A257" s="44" t="str">
        <f>Quantities!AB272</f>
        <v>Type: ODOT Spec 823 </v>
      </c>
      <c r="B257" s="50"/>
      <c r="C257" s="50"/>
      <c r="D257" s="50"/>
      <c r="F257" s="48"/>
      <c r="G257" s="48"/>
    </row>
    <row r="258" spans="1:7" s="38" customFormat="1" ht="12.75" hidden="1">
      <c r="A258" s="50"/>
      <c r="B258" s="44"/>
      <c r="C258" s="50"/>
      <c r="D258" s="50"/>
      <c r="F258" s="51"/>
      <c r="G258" s="51"/>
    </row>
    <row r="259" spans="1:7" s="38" customFormat="1" ht="12.75" hidden="1">
      <c r="A259" s="52" t="s">
        <v>1</v>
      </c>
      <c r="B259" s="52" t="s">
        <v>2</v>
      </c>
      <c r="C259" s="52" t="s">
        <v>36</v>
      </c>
      <c r="D259" s="52" t="s">
        <v>3</v>
      </c>
      <c r="E259" s="53" t="s">
        <v>4</v>
      </c>
      <c r="F259" s="54" t="s">
        <v>5</v>
      </c>
      <c r="G259" s="54" t="s">
        <v>6</v>
      </c>
    </row>
    <row r="260" spans="1:7" s="58" customFormat="1" ht="12.75" hidden="1">
      <c r="A260" s="55">
        <f>A229</f>
        <v>1</v>
      </c>
      <c r="B260" s="56">
        <f>LOOKUP($A260,Quantities!$T253:$T268,Quantities!AE253:AE268)</f>
      </c>
      <c r="C260" s="56">
        <f>LOOKUP($A260,Quantities!$T253:$T268,Quantities!AF253:AF268)</f>
      </c>
      <c r="D260" s="56">
        <f>LOOKUP($A260,Quantities!$T253:$T268,Quantities!AG253:AG268)</f>
      </c>
      <c r="E260" s="56">
        <f>LOOKUP($A260,Quantities!$T253:$T268,Quantities!AR253:AR268)</f>
      </c>
      <c r="F260" s="57">
        <f>LOOKUP($A260,Quantities!$T253:$T268,Quantities!AQ253:AQ268)</f>
        <v>0</v>
      </c>
      <c r="G260" s="57">
        <f aca="true" t="shared" si="16" ref="G260:G275">IF(C260="",0,F260*C260)</f>
        <v>0</v>
      </c>
    </row>
    <row r="261" spans="1:7" s="58" customFormat="1" ht="12.75" hidden="1">
      <c r="A261" s="55">
        <f aca="true" t="shared" si="17" ref="A261:A275">A260+1</f>
        <v>2</v>
      </c>
      <c r="B261" s="56">
        <f>LOOKUP($A261,Quantities!$T253:$T268,Quantities!AE253:AE268)</f>
      </c>
      <c r="C261" s="56">
        <f>LOOKUP($A261,Quantities!$T253:$T268,Quantities!AF253:AF268)</f>
      </c>
      <c r="D261" s="56">
        <f>LOOKUP($A261,Quantities!$T253:$T268,Quantities!AG253:AG268)</f>
      </c>
      <c r="E261" s="56">
        <f>LOOKUP($A261,Quantities!$T253:$T268,Quantities!AR253:AR268)</f>
      </c>
      <c r="F261" s="57">
        <f>LOOKUP($A261,Quantities!$T253:$T268,Quantities!AQ253:AQ268)</f>
        <v>0</v>
      </c>
      <c r="G261" s="57">
        <f t="shared" si="16"/>
        <v>0</v>
      </c>
    </row>
    <row r="262" spans="1:7" s="58" customFormat="1" ht="12.75" hidden="1">
      <c r="A262" s="55">
        <f t="shared" si="17"/>
        <v>3</v>
      </c>
      <c r="B262" s="56">
        <f>LOOKUP($A262,Quantities!$T253:$T268,Quantities!AE253:AE268)</f>
      </c>
      <c r="C262" s="56">
        <f>LOOKUP($A262,Quantities!$T253:$T268,Quantities!AF253:AF268)</f>
      </c>
      <c r="D262" s="56">
        <f>LOOKUP($A262,Quantities!$T253:$T268,Quantities!AG253:AG268)</f>
      </c>
      <c r="E262" s="56">
        <f>LOOKUP($A262,Quantities!$T253:$T268,Quantities!AR253:AR268)</f>
      </c>
      <c r="F262" s="57">
        <f>LOOKUP($A262,Quantities!$T253:$T268,Quantities!AQ253:AQ268)</f>
        <v>0</v>
      </c>
      <c r="G262" s="57">
        <f t="shared" si="16"/>
        <v>0</v>
      </c>
    </row>
    <row r="263" spans="1:7" s="59" customFormat="1" ht="12.75" hidden="1">
      <c r="A263" s="55">
        <f t="shared" si="17"/>
        <v>4</v>
      </c>
      <c r="B263" s="56">
        <f>LOOKUP($A263,Quantities!$T253:$T268,Quantities!AE253:AE268)</f>
      </c>
      <c r="C263" s="56">
        <f>LOOKUP($A263,Quantities!$T253:$T268,Quantities!AF253:AF268)</f>
      </c>
      <c r="D263" s="56">
        <f>LOOKUP($A263,Quantities!$T253:$T268,Quantities!AG253:AG268)</f>
      </c>
      <c r="E263" s="56">
        <f>LOOKUP($A263,Quantities!$T253:$T268,Quantities!AR253:AR268)</f>
      </c>
      <c r="F263" s="57">
        <f>LOOKUP($A263,Quantities!$T253:$T268,Quantities!AQ253:AQ268)</f>
        <v>0</v>
      </c>
      <c r="G263" s="57">
        <f t="shared" si="16"/>
        <v>0</v>
      </c>
    </row>
    <row r="264" spans="1:7" s="58" customFormat="1" ht="12.75" hidden="1">
      <c r="A264" s="55">
        <f t="shared" si="17"/>
        <v>5</v>
      </c>
      <c r="B264" s="56">
        <f>LOOKUP($A264,Quantities!$T253:$T268,Quantities!AE253:AE268)</f>
      </c>
      <c r="C264" s="56">
        <f>LOOKUP($A264,Quantities!$T253:$T268,Quantities!AF253:AF268)</f>
      </c>
      <c r="D264" s="56">
        <f>LOOKUP($A264,Quantities!$T253:$T268,Quantities!AG253:AG268)</f>
      </c>
      <c r="E264" s="56">
        <f>LOOKUP($A264,Quantities!$T253:$T268,Quantities!AR253:AR268)</f>
      </c>
      <c r="F264" s="57">
        <f>LOOKUP($A264,Quantities!$T253:$T268,Quantities!AQ253:AQ268)</f>
        <v>0</v>
      </c>
      <c r="G264" s="57">
        <f t="shared" si="16"/>
        <v>0</v>
      </c>
    </row>
    <row r="265" spans="1:7" s="58" customFormat="1" ht="12.75" hidden="1">
      <c r="A265" s="55">
        <f t="shared" si="17"/>
        <v>6</v>
      </c>
      <c r="B265" s="56">
        <f>LOOKUP($A265,Quantities!$T253:$T268,Quantities!AE253:AE268)</f>
      </c>
      <c r="C265" s="56">
        <f>LOOKUP($A265,Quantities!$T253:$T268,Quantities!AF253:AF268)</f>
      </c>
      <c r="D265" s="56">
        <f>LOOKUP($A265,Quantities!$T253:$T268,Quantities!AG253:AG268)</f>
      </c>
      <c r="E265" s="56">
        <f>LOOKUP($A265,Quantities!$T253:$T268,Quantities!AR253:AR268)</f>
      </c>
      <c r="F265" s="57">
        <f>LOOKUP($A265,Quantities!$T253:$T268,Quantities!AQ253:AQ268)</f>
        <v>0</v>
      </c>
      <c r="G265" s="57">
        <f t="shared" si="16"/>
        <v>0</v>
      </c>
    </row>
    <row r="266" spans="1:7" s="58" customFormat="1" ht="12.75" hidden="1">
      <c r="A266" s="55">
        <f t="shared" si="17"/>
        <v>7</v>
      </c>
      <c r="B266" s="56">
        <f>LOOKUP($A266,Quantities!$T253:$T268,Quantities!AE253:AE268)</f>
      </c>
      <c r="C266" s="56">
        <f>LOOKUP($A266,Quantities!$T253:$T268,Quantities!AF253:AF268)</f>
      </c>
      <c r="D266" s="56">
        <f>LOOKUP($A266,Quantities!$T253:$T268,Quantities!AG253:AG268)</f>
      </c>
      <c r="E266" s="56">
        <f>LOOKUP($A266,Quantities!$T253:$T268,Quantities!AR253:AR268)</f>
      </c>
      <c r="F266" s="57">
        <f>LOOKUP($A266,Quantities!$T253:$T268,Quantities!AQ253:AQ268)</f>
        <v>0</v>
      </c>
      <c r="G266" s="57">
        <f t="shared" si="16"/>
        <v>0</v>
      </c>
    </row>
    <row r="267" spans="1:7" s="58" customFormat="1" ht="12.75" hidden="1">
      <c r="A267" s="55">
        <f t="shared" si="17"/>
        <v>8</v>
      </c>
      <c r="B267" s="56">
        <f>LOOKUP($A267,Quantities!$T253:$T268,Quantities!AE253:AE268)</f>
      </c>
      <c r="C267" s="56">
        <f>LOOKUP($A267,Quantities!$T253:$T268,Quantities!AF253:AF268)</f>
      </c>
      <c r="D267" s="56">
        <f>LOOKUP($A267,Quantities!$T253:$T268,Quantities!AG253:AG268)</f>
      </c>
      <c r="E267" s="56">
        <f>LOOKUP($A267,Quantities!$T253:$T268,Quantities!AR253:AR268)</f>
      </c>
      <c r="F267" s="57">
        <f>LOOKUP($A267,Quantities!$T253:$T268,Quantities!AQ253:AQ268)</f>
        <v>0</v>
      </c>
      <c r="G267" s="57">
        <f t="shared" si="16"/>
        <v>0</v>
      </c>
    </row>
    <row r="268" spans="1:7" s="58" customFormat="1" ht="12.75" hidden="1">
      <c r="A268" s="55">
        <f t="shared" si="17"/>
        <v>9</v>
      </c>
      <c r="B268" s="56">
        <f>LOOKUP($A268,Quantities!$T253:$T268,Quantities!AE253:AE268)</f>
      </c>
      <c r="C268" s="56">
        <f>LOOKUP($A268,Quantities!$T253:$T268,Quantities!AF253:AF268)</f>
      </c>
      <c r="D268" s="56">
        <f>LOOKUP($A268,Quantities!$T253:$T268,Quantities!AG253:AG268)</f>
      </c>
      <c r="E268" s="56">
        <f>LOOKUP($A268,Quantities!$T253:$T268,Quantities!AR253:AR268)</f>
      </c>
      <c r="F268" s="57">
        <f>LOOKUP($A268,Quantities!$T253:$T268,Quantities!AQ253:AQ268)</f>
        <v>0</v>
      </c>
      <c r="G268" s="57">
        <f t="shared" si="16"/>
        <v>0</v>
      </c>
    </row>
    <row r="269" spans="1:7" s="58" customFormat="1" ht="12.75" hidden="1">
      <c r="A269" s="55">
        <f t="shared" si="17"/>
        <v>10</v>
      </c>
      <c r="B269" s="56">
        <f>LOOKUP($A269,Quantities!$T253:$T268,Quantities!AE253:AE268)</f>
      </c>
      <c r="C269" s="56">
        <f>LOOKUP($A269,Quantities!$T253:$T268,Quantities!AF253:AF268)</f>
      </c>
      <c r="D269" s="56">
        <f>LOOKUP($A269,Quantities!$T253:$T268,Quantities!AG253:AG268)</f>
      </c>
      <c r="E269" s="56">
        <f>LOOKUP($A269,Quantities!$T253:$T268,Quantities!AR253:AR268)</f>
      </c>
      <c r="F269" s="57">
        <f>LOOKUP($A269,Quantities!$T253:$T268,Quantities!AQ253:AQ268)</f>
        <v>0</v>
      </c>
      <c r="G269" s="57">
        <f t="shared" si="16"/>
        <v>0</v>
      </c>
    </row>
    <row r="270" spans="1:7" s="58" customFormat="1" ht="12.75" hidden="1">
      <c r="A270" s="55">
        <f t="shared" si="17"/>
        <v>11</v>
      </c>
      <c r="B270" s="56">
        <f>LOOKUP($A270,Quantities!$T253:$T268,Quantities!AE253:AE268)</f>
      </c>
      <c r="C270" s="56">
        <f>LOOKUP($A270,Quantities!$T253:$T268,Quantities!AF253:AF268)</f>
      </c>
      <c r="D270" s="56">
        <f>LOOKUP($A270,Quantities!$T253:$T268,Quantities!AG253:AG268)</f>
      </c>
      <c r="E270" s="56">
        <f>LOOKUP($A270,Quantities!$T253:$T268,Quantities!AR253:AR268)</f>
      </c>
      <c r="F270" s="57">
        <f>LOOKUP($A270,Quantities!$T253:$T268,Quantities!AQ253:AQ268)</f>
        <v>0</v>
      </c>
      <c r="G270" s="57">
        <f t="shared" si="16"/>
        <v>0</v>
      </c>
    </row>
    <row r="271" spans="1:7" s="58" customFormat="1" ht="12.75" hidden="1">
      <c r="A271" s="55">
        <f t="shared" si="17"/>
        <v>12</v>
      </c>
      <c r="B271" s="56">
        <f>LOOKUP($A271,Quantities!$T253:$T268,Quantities!AE253:AE268)</f>
      </c>
      <c r="C271" s="56">
        <f>LOOKUP($A271,Quantities!$T253:$T268,Quantities!AF253:AF268)</f>
      </c>
      <c r="D271" s="56">
        <f>LOOKUP($A271,Quantities!$T253:$T268,Quantities!AG253:AG268)</f>
      </c>
      <c r="E271" s="56">
        <f>LOOKUP($A271,Quantities!$T253:$T268,Quantities!AR253:AR268)</f>
      </c>
      <c r="F271" s="57">
        <f>LOOKUP($A271,Quantities!$T253:$T268,Quantities!AQ253:AQ268)</f>
        <v>0</v>
      </c>
      <c r="G271" s="57">
        <f t="shared" si="16"/>
        <v>0</v>
      </c>
    </row>
    <row r="272" spans="1:7" s="58" customFormat="1" ht="12.75" hidden="1">
      <c r="A272" s="55">
        <f t="shared" si="17"/>
        <v>13</v>
      </c>
      <c r="B272" s="56">
        <f>LOOKUP($A272,Quantities!$T253:$T268,Quantities!AE253:AE268)</f>
      </c>
      <c r="C272" s="56">
        <f>LOOKUP($A272,Quantities!$T253:$T268,Quantities!AF253:AF268)</f>
      </c>
      <c r="D272" s="56">
        <f>LOOKUP($A272,Quantities!$T253:$T268,Quantities!AG253:AG268)</f>
      </c>
      <c r="E272" s="56">
        <f>LOOKUP($A272,Quantities!$T253:$T268,Quantities!AR253:AR268)</f>
      </c>
      <c r="F272" s="57">
        <f>LOOKUP($A272,Quantities!$T253:$T268,Quantities!AQ253:AQ268)</f>
        <v>0</v>
      </c>
      <c r="G272" s="57">
        <f t="shared" si="16"/>
        <v>0</v>
      </c>
    </row>
    <row r="273" spans="1:7" s="58" customFormat="1" ht="12.75" hidden="1">
      <c r="A273" s="55">
        <f t="shared" si="17"/>
        <v>14</v>
      </c>
      <c r="B273" s="56">
        <f>LOOKUP($A273,Quantities!$T253:$T268,Quantities!AE253:AE268)</f>
      </c>
      <c r="C273" s="56">
        <f>LOOKUP($A273,Quantities!$T253:$T268,Quantities!AF253:AF268)</f>
      </c>
      <c r="D273" s="56">
        <f>LOOKUP($A273,Quantities!$T253:$T268,Quantities!AG253:AG268)</f>
      </c>
      <c r="E273" s="56">
        <f>LOOKUP($A273,Quantities!$T253:$T268,Quantities!AR253:AR268)</f>
      </c>
      <c r="F273" s="57">
        <f>LOOKUP($A273,Quantities!$T253:$T268,Quantities!AQ253:AQ268)</f>
        <v>0</v>
      </c>
      <c r="G273" s="57">
        <f t="shared" si="16"/>
        <v>0</v>
      </c>
    </row>
    <row r="274" spans="1:7" s="59" customFormat="1" ht="12.75" hidden="1">
      <c r="A274" s="55">
        <f t="shared" si="17"/>
        <v>15</v>
      </c>
      <c r="B274" s="56">
        <f>LOOKUP($A274,Quantities!$T253:$T268,Quantities!AE253:AE268)</f>
      </c>
      <c r="C274" s="56">
        <f>LOOKUP($A274,Quantities!$T253:$T268,Quantities!AF253:AF268)</f>
      </c>
      <c r="D274" s="56">
        <f>LOOKUP($A274,Quantities!$T253:$T268,Quantities!AG253:AG268)</f>
      </c>
      <c r="E274" s="56">
        <f>LOOKUP($A274,Quantities!$T253:$T268,Quantities!AR253:AR268)</f>
      </c>
      <c r="F274" s="57">
        <f>LOOKUP($A274,Quantities!$T253:$T268,Quantities!AQ253:AQ268)</f>
        <v>0</v>
      </c>
      <c r="G274" s="57">
        <f t="shared" si="16"/>
        <v>0</v>
      </c>
    </row>
    <row r="275" spans="1:7" s="59" customFormat="1" ht="12.75" hidden="1">
      <c r="A275" s="55">
        <f t="shared" si="17"/>
        <v>16</v>
      </c>
      <c r="B275" s="56">
        <f>LOOKUP($A275,Quantities!$T253:$T268,Quantities!AE253:AE268)</f>
      </c>
      <c r="C275" s="56">
        <f>LOOKUP($A275,Quantities!$T253:$T268,Quantities!AF253:AF268)</f>
      </c>
      <c r="D275" s="56">
        <f>LOOKUP($A275,Quantities!$T253:$T268,Quantities!AG253:AG268)</f>
      </c>
      <c r="E275" s="56">
        <f>LOOKUP($A275,Quantities!$T253:$T268,Quantities!AR253:AR268)</f>
      </c>
      <c r="F275" s="57">
        <f>LOOKUP($A275,Quantities!$T253:$T268,Quantities!AQ253:AQ268)</f>
        <v>0</v>
      </c>
      <c r="G275" s="57">
        <f t="shared" si="16"/>
        <v>0</v>
      </c>
    </row>
    <row r="276" spans="1:8" ht="12.75" hidden="1">
      <c r="A276" s="50"/>
      <c r="E276" s="60" t="s">
        <v>129</v>
      </c>
      <c r="F276" s="61"/>
      <c r="G276" s="62">
        <f>SUM(G260:G275)</f>
        <v>0</v>
      </c>
      <c r="H276" s="63">
        <f>G276</f>
        <v>0</v>
      </c>
    </row>
    <row r="279" spans="5:7" ht="18">
      <c r="E279" s="64" t="s">
        <v>143</v>
      </c>
      <c r="F279" s="168">
        <f>SUM(H11:H278)</f>
        <v>1380375</v>
      </c>
      <c r="G279" s="169"/>
    </row>
  </sheetData>
  <sheetProtection formatCells="0" formatColumns="0" formatRows="0"/>
  <mergeCells count="37">
    <mergeCell ref="F279:G279"/>
    <mergeCell ref="A32:G32"/>
    <mergeCell ref="A33:G33"/>
    <mergeCell ref="A220:G220"/>
    <mergeCell ref="A221:G221"/>
    <mergeCell ref="A249:G249"/>
    <mergeCell ref="A250:G250"/>
    <mergeCell ref="A251:G251"/>
    <mergeCell ref="A219:G219"/>
    <mergeCell ref="A127:G127"/>
    <mergeCell ref="A159:G159"/>
    <mergeCell ref="A128:G128"/>
    <mergeCell ref="A156:G156"/>
    <mergeCell ref="A187:G187"/>
    <mergeCell ref="A158:G158"/>
    <mergeCell ref="A63:G63"/>
    <mergeCell ref="A64:G64"/>
    <mergeCell ref="A65:G65"/>
    <mergeCell ref="A66:G66"/>
    <mergeCell ref="A94:G94"/>
    <mergeCell ref="A125:G125"/>
    <mergeCell ref="A157:G157"/>
    <mergeCell ref="A34:G34"/>
    <mergeCell ref="A35:G35"/>
    <mergeCell ref="A252:G252"/>
    <mergeCell ref="A126:G126"/>
    <mergeCell ref="A188:G188"/>
    <mergeCell ref="A189:G189"/>
    <mergeCell ref="A190:G190"/>
    <mergeCell ref="A218:G218"/>
    <mergeCell ref="A2:G2"/>
    <mergeCell ref="A4:G4"/>
    <mergeCell ref="A3:G3"/>
    <mergeCell ref="A1:G1"/>
    <mergeCell ref="A96:G96"/>
    <mergeCell ref="A97:G97"/>
    <mergeCell ref="A95:G95"/>
  </mergeCells>
  <printOptions/>
  <pageMargins left="1" right="1" top="1" bottom="1" header="0.5" footer="0.5"/>
  <pageSetup horizontalDpi="600" verticalDpi="600" orientation="portrait" scale="69" r:id="rId1"/>
  <rowBreaks count="2" manualBreakCount="2">
    <brk id="91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PageLayoutView="0" workbookViewId="0" topLeftCell="A69">
      <selection activeCell="L76" sqref="L76"/>
    </sheetView>
  </sheetViews>
  <sheetFormatPr defaultColWidth="11.421875" defaultRowHeight="12.75"/>
  <cols>
    <col min="1" max="1" width="6.8515625" style="40" customWidth="1"/>
    <col min="2" max="2" width="9.7109375" style="40" customWidth="1"/>
    <col min="3" max="3" width="7.7109375" style="40" customWidth="1"/>
    <col min="4" max="4" width="8.00390625" style="40" customWidth="1"/>
    <col min="5" max="5" width="54.28125" style="41" customWidth="1"/>
    <col min="6" max="6" width="15.140625" style="42" customWidth="1"/>
    <col min="7" max="7" width="20.57421875" style="42" customWidth="1"/>
    <col min="8" max="16384" width="11.421875" style="36" customWidth="1"/>
  </cols>
  <sheetData>
    <row r="1" spans="1:7" ht="28.5" customHeight="1">
      <c r="A1" s="170" t="s">
        <v>35</v>
      </c>
      <c r="B1" s="170"/>
      <c r="C1" s="170"/>
      <c r="D1" s="170"/>
      <c r="E1" s="170"/>
      <c r="F1" s="170"/>
      <c r="G1" s="170"/>
    </row>
    <row r="2" spans="1:7" ht="12.75">
      <c r="A2" s="167"/>
      <c r="B2" s="160"/>
      <c r="C2" s="160"/>
      <c r="D2" s="160"/>
      <c r="E2" s="160"/>
      <c r="F2" s="160"/>
      <c r="G2" s="160"/>
    </row>
    <row r="3" spans="1:7" ht="12.75">
      <c r="A3" s="38" t="s">
        <v>32</v>
      </c>
      <c r="B3" s="171" t="s">
        <v>181</v>
      </c>
      <c r="C3" s="166"/>
      <c r="D3" s="166"/>
      <c r="E3" s="37"/>
      <c r="F3" s="37"/>
      <c r="G3" s="37"/>
    </row>
    <row r="4" spans="1:7" ht="15.75">
      <c r="A4" s="65"/>
      <c r="B4" s="173" t="str">
        <f>Estimate!A3</f>
        <v>HC Engineer 2022 Road Improvement Project</v>
      </c>
      <c r="C4" s="173"/>
      <c r="D4" s="173"/>
      <c r="E4" s="37"/>
      <c r="F4" s="174" t="s">
        <v>180</v>
      </c>
      <c r="G4" s="174"/>
    </row>
    <row r="5" spans="2:7" s="39" customFormat="1" ht="12.75">
      <c r="B5" s="38" t="s">
        <v>34</v>
      </c>
      <c r="C5" s="38"/>
      <c r="D5" s="38"/>
      <c r="E5" s="37"/>
      <c r="F5" s="37"/>
      <c r="G5" s="66"/>
    </row>
    <row r="6" spans="1:7" s="39" customFormat="1" ht="12.75">
      <c r="A6" s="40"/>
      <c r="B6" s="40"/>
      <c r="C6" s="40"/>
      <c r="D6" s="40"/>
      <c r="E6" s="41"/>
      <c r="F6" s="42"/>
      <c r="G6" s="42"/>
    </row>
    <row r="7" spans="1:7" s="39" customFormat="1" ht="12.75">
      <c r="A7" s="68" t="str">
        <f>Estimate!A6</f>
        <v>Road 14 b/ Road M- Road Z</v>
      </c>
      <c r="B7" s="68"/>
      <c r="C7" s="68"/>
      <c r="D7" s="68"/>
      <c r="E7" s="68"/>
      <c r="F7" s="42"/>
      <c r="G7" s="42"/>
    </row>
    <row r="8" spans="1:7" s="39" customFormat="1" ht="12.75">
      <c r="A8" s="68" t="str">
        <f>Estimate!A7</f>
        <v>Length:  12945 Feet or 2.45 Mile(s)</v>
      </c>
      <c r="B8" s="67"/>
      <c r="C8" s="68"/>
      <c r="D8" s="70"/>
      <c r="E8" s="71"/>
      <c r="F8" s="42"/>
      <c r="G8" s="42"/>
    </row>
    <row r="9" spans="1:5" s="39" customFormat="1" ht="12.75">
      <c r="A9" s="68" t="str">
        <f>Estimate!A8</f>
        <v>Width:  19 Feet     (Approx. 27490 S.Y. including radius and driveway work)</v>
      </c>
      <c r="B9" s="40"/>
      <c r="C9" s="68"/>
      <c r="D9" s="72"/>
      <c r="E9" s="72"/>
    </row>
    <row r="10" spans="1:7" s="39" customFormat="1" ht="12.75">
      <c r="A10" s="68" t="str">
        <f>Estimate!A9</f>
        <v>Type: ODOT Spec 823 </v>
      </c>
      <c r="B10" s="68"/>
      <c r="C10" s="68"/>
      <c r="D10" s="68"/>
      <c r="E10" s="68"/>
      <c r="F10" s="68"/>
      <c r="G10" s="68"/>
    </row>
    <row r="12" spans="1:7" ht="12.75">
      <c r="A12" s="52" t="s">
        <v>1</v>
      </c>
      <c r="B12" s="52" t="s">
        <v>2</v>
      </c>
      <c r="C12" s="52" t="s">
        <v>36</v>
      </c>
      <c r="D12" s="52" t="s">
        <v>3</v>
      </c>
      <c r="E12" s="73" t="s">
        <v>4</v>
      </c>
      <c r="F12" s="54" t="s">
        <v>5</v>
      </c>
      <c r="G12" s="54" t="s">
        <v>6</v>
      </c>
    </row>
    <row r="13" spans="1:7" ht="24.75" customHeight="1">
      <c r="A13" s="50">
        <f>Estimate!A12</f>
        <v>1</v>
      </c>
      <c r="B13" s="50">
        <f>Estimate!B12</f>
        <v>407</v>
      </c>
      <c r="C13" s="69">
        <f>Estimate!C12</f>
        <v>1375</v>
      </c>
      <c r="D13" s="69" t="str">
        <f>Estimate!D12</f>
        <v>Gal</v>
      </c>
      <c r="E13" s="78" t="str">
        <f>Estimate!E12</f>
        <v>Bituminous Tack Coat applied at 0.05 gallons per square yard</v>
      </c>
      <c r="F13" s="156"/>
      <c r="G13" s="156">
        <f aca="true" t="shared" si="0" ref="G13:G18">F13*C13</f>
        <v>0</v>
      </c>
    </row>
    <row r="14" spans="1:7" ht="32.25" customHeight="1">
      <c r="A14" s="50">
        <f>A13+1</f>
        <v>2</v>
      </c>
      <c r="B14" s="50">
        <f>Estimate!B13</f>
        <v>823</v>
      </c>
      <c r="C14" s="69">
        <f>Estimate!C13</f>
        <v>1146</v>
      </c>
      <c r="D14" s="69" t="str">
        <f>Estimate!D13</f>
        <v>C.Y.</v>
      </c>
      <c r="E14" s="78" t="str">
        <f>Estimate!E13</f>
        <v>Asphalt concrete surface course PG 64-22, Type 1 (823) applied, spread and compacted at the average depth of 1.5 inches</v>
      </c>
      <c r="F14" s="156"/>
      <c r="G14" s="156">
        <f t="shared" si="0"/>
        <v>0</v>
      </c>
    </row>
    <row r="15" spans="1:7" ht="32.25" customHeight="1">
      <c r="A15" s="50">
        <f>Estimate!A14</f>
        <v>3</v>
      </c>
      <c r="B15" s="50">
        <f>Estimate!B14</f>
        <v>254</v>
      </c>
      <c r="C15" s="69">
        <f>Estimate!C14</f>
        <v>245</v>
      </c>
      <c r="D15" s="69" t="str">
        <f>Estimate!D14</f>
        <v>S.Y.</v>
      </c>
      <c r="E15" s="78" t="str">
        <f>Estimate!E14</f>
        <v>Pavement Planing (20' length including radius)</v>
      </c>
      <c r="F15" s="156"/>
      <c r="G15" s="156">
        <f t="shared" si="0"/>
        <v>0</v>
      </c>
    </row>
    <row r="16" spans="1:7" ht="32.25" customHeight="1">
      <c r="A16" s="50">
        <f>Estimate!A15</f>
        <v>4</v>
      </c>
      <c r="B16" s="50">
        <f>Estimate!B15</f>
        <v>614</v>
      </c>
      <c r="C16" s="69">
        <f>Estimate!C15</f>
        <v>1</v>
      </c>
      <c r="D16" s="69" t="str">
        <f>Estimate!D15</f>
        <v>L.S.</v>
      </c>
      <c r="E16" s="78" t="str">
        <f>Estimate!E15</f>
        <v>Maintaining Traffic</v>
      </c>
      <c r="F16" s="156"/>
      <c r="G16" s="156">
        <f t="shared" si="0"/>
        <v>0</v>
      </c>
    </row>
    <row r="17" spans="1:7" ht="24.75" customHeight="1">
      <c r="A17" s="50">
        <f>Estimate!A16</f>
        <v>5</v>
      </c>
      <c r="B17" s="50">
        <f>Estimate!B16</f>
        <v>624</v>
      </c>
      <c r="C17" s="69">
        <f>Estimate!C16</f>
        <v>1</v>
      </c>
      <c r="D17" s="69" t="str">
        <f>Estimate!D16</f>
        <v>L.S.</v>
      </c>
      <c r="E17" s="78" t="str">
        <f>Estimate!E16</f>
        <v>Mobilization</v>
      </c>
      <c r="F17" s="156"/>
      <c r="G17" s="156">
        <f t="shared" si="0"/>
        <v>0</v>
      </c>
    </row>
    <row r="18" spans="1:7" ht="24.75" customHeight="1">
      <c r="A18" s="50">
        <f>Estimate!A17</f>
        <v>6</v>
      </c>
      <c r="B18" s="50">
        <f>Estimate!B17</f>
        <v>103.05</v>
      </c>
      <c r="C18" s="69">
        <f>Estimate!C17</f>
        <v>1</v>
      </c>
      <c r="D18" s="69" t="str">
        <f>Estimate!D17</f>
        <v>L.S.</v>
      </c>
      <c r="E18" s="78" t="str">
        <f>Estimate!E17</f>
        <v>Contract Performance &amp; Payment Bond</v>
      </c>
      <c r="F18" s="156"/>
      <c r="G18" s="156">
        <f t="shared" si="0"/>
        <v>0</v>
      </c>
    </row>
    <row r="19" spans="1:7" ht="24.75" customHeight="1" hidden="1">
      <c r="A19" s="50">
        <f>Estimate!A18</f>
        <v>7</v>
      </c>
      <c r="B19" s="50">
        <f>Estimate!B18</f>
      </c>
      <c r="C19" s="69">
        <f>Estimate!C18</f>
      </c>
      <c r="D19" s="69">
        <f>Estimate!D18</f>
      </c>
      <c r="E19" s="78">
        <f>Estimate!E18</f>
      </c>
      <c r="F19" s="74" t="s">
        <v>145</v>
      </c>
      <c r="G19" s="74" t="s">
        <v>146</v>
      </c>
    </row>
    <row r="20" spans="1:7" ht="24.75" customHeight="1" hidden="1">
      <c r="A20" s="50">
        <f>Estimate!A19</f>
        <v>8</v>
      </c>
      <c r="B20" s="50">
        <f>Estimate!B19</f>
      </c>
      <c r="C20" s="69">
        <f>Estimate!C19</f>
      </c>
      <c r="D20" s="69">
        <f>Estimate!D19</f>
      </c>
      <c r="E20" s="78">
        <f>Estimate!E19</f>
      </c>
      <c r="F20" s="74" t="s">
        <v>145</v>
      </c>
      <c r="G20" s="74" t="s">
        <v>146</v>
      </c>
    </row>
    <row r="21" spans="1:7" ht="24.75" customHeight="1" hidden="1">
      <c r="A21" s="50">
        <f>Estimate!A20</f>
        <v>9</v>
      </c>
      <c r="B21" s="50">
        <f>Estimate!B20</f>
      </c>
      <c r="C21" s="69">
        <f>Estimate!C20</f>
      </c>
      <c r="D21" s="69">
        <f>Estimate!D20</f>
      </c>
      <c r="E21" s="78">
        <f>Estimate!E20</f>
      </c>
      <c r="F21" s="74" t="s">
        <v>145</v>
      </c>
      <c r="G21" s="74" t="s">
        <v>146</v>
      </c>
    </row>
    <row r="22" spans="1:7" ht="24.75" customHeight="1" hidden="1">
      <c r="A22" s="50">
        <f>Estimate!A21</f>
        <v>10</v>
      </c>
      <c r="B22" s="50">
        <f>Estimate!B21</f>
      </c>
      <c r="C22" s="69">
        <f>Estimate!C21</f>
      </c>
      <c r="D22" s="69">
        <f>Estimate!D21</f>
      </c>
      <c r="E22" s="78">
        <f>Estimate!E21</f>
      </c>
      <c r="F22" s="74" t="s">
        <v>145</v>
      </c>
      <c r="G22" s="74" t="s">
        <v>146</v>
      </c>
    </row>
    <row r="23" spans="1:7" ht="24.75" customHeight="1" hidden="1">
      <c r="A23" s="50">
        <f>Estimate!A22</f>
        <v>11</v>
      </c>
      <c r="B23" s="50">
        <f>Estimate!B22</f>
      </c>
      <c r="C23" s="69">
        <f>Estimate!C22</f>
      </c>
      <c r="D23" s="69">
        <f>Estimate!D22</f>
      </c>
      <c r="E23" s="78">
        <f>Estimate!E22</f>
      </c>
      <c r="F23" s="74" t="s">
        <v>145</v>
      </c>
      <c r="G23" s="74" t="s">
        <v>146</v>
      </c>
    </row>
    <row r="24" spans="1:7" s="39" customFormat="1" ht="24.75" customHeight="1" hidden="1">
      <c r="A24" s="50">
        <f>Estimate!A23</f>
        <v>12</v>
      </c>
      <c r="B24" s="50">
        <f>Estimate!B23</f>
      </c>
      <c r="C24" s="69">
        <f>Estimate!C23</f>
      </c>
      <c r="D24" s="69">
        <f>Estimate!D23</f>
      </c>
      <c r="E24" s="78">
        <f>Estimate!E23</f>
      </c>
      <c r="F24" s="74" t="s">
        <v>145</v>
      </c>
      <c r="G24" s="74" t="s">
        <v>146</v>
      </c>
    </row>
    <row r="25" spans="1:7" s="39" customFormat="1" ht="24.75" customHeight="1" hidden="1">
      <c r="A25" s="50">
        <f>Estimate!A24</f>
        <v>13</v>
      </c>
      <c r="B25" s="50">
        <f>Estimate!B24</f>
      </c>
      <c r="C25" s="69">
        <f>Estimate!C24</f>
      </c>
      <c r="D25" s="69">
        <f>Estimate!D24</f>
      </c>
      <c r="E25" s="78">
        <f>Estimate!E24</f>
      </c>
      <c r="F25" s="74" t="s">
        <v>145</v>
      </c>
      <c r="G25" s="74" t="s">
        <v>146</v>
      </c>
    </row>
    <row r="26" spans="1:7" s="39" customFormat="1" ht="24.75" customHeight="1" hidden="1">
      <c r="A26" s="50">
        <f>Estimate!A25</f>
        <v>14</v>
      </c>
      <c r="B26" s="50">
        <f>Estimate!B25</f>
      </c>
      <c r="C26" s="69">
        <f>Estimate!C25</f>
      </c>
      <c r="D26" s="69">
        <f>Estimate!D25</f>
      </c>
      <c r="E26" s="78">
        <f>Estimate!E25</f>
      </c>
      <c r="F26" s="74" t="s">
        <v>145</v>
      </c>
      <c r="G26" s="74" t="s">
        <v>146</v>
      </c>
    </row>
    <row r="27" spans="1:7" s="39" customFormat="1" ht="24.75" customHeight="1" hidden="1">
      <c r="A27" s="50">
        <f>Estimate!A26</f>
        <v>15</v>
      </c>
      <c r="B27" s="50">
        <f>Estimate!B26</f>
      </c>
      <c r="C27" s="69">
        <f>Estimate!C26</f>
      </c>
      <c r="D27" s="69">
        <f>Estimate!D26</f>
      </c>
      <c r="E27" s="78">
        <f>Estimate!E26</f>
      </c>
      <c r="F27" s="74" t="s">
        <v>145</v>
      </c>
      <c r="G27" s="74" t="s">
        <v>146</v>
      </c>
    </row>
    <row r="28" spans="1:7" s="39" customFormat="1" ht="24.75" customHeight="1" hidden="1">
      <c r="A28" s="50">
        <f>Estimate!A27</f>
        <v>16</v>
      </c>
      <c r="B28" s="50">
        <f>Estimate!B27</f>
      </c>
      <c r="C28" s="69">
        <f>Estimate!C27</f>
      </c>
      <c r="D28" s="69">
        <f>Estimate!D27</f>
      </c>
      <c r="E28" s="78">
        <f>Estimate!E27</f>
      </c>
      <c r="F28" s="74" t="s">
        <v>145</v>
      </c>
      <c r="G28" s="74" t="s">
        <v>146</v>
      </c>
    </row>
    <row r="29" spans="1:7" s="39" customFormat="1" ht="24.75" customHeight="1">
      <c r="A29" s="50"/>
      <c r="B29" s="40"/>
      <c r="C29" s="40"/>
      <c r="D29" s="40"/>
      <c r="E29" s="77" t="s">
        <v>147</v>
      </c>
      <c r="F29" s="42"/>
      <c r="G29" s="157">
        <f>SUM(G13:G18)</f>
        <v>0</v>
      </c>
    </row>
    <row r="30" spans="1:7" s="39" customFormat="1" ht="12.75">
      <c r="A30" s="50"/>
      <c r="B30" s="40"/>
      <c r="C30" s="40"/>
      <c r="D30" s="40"/>
      <c r="E30" s="68"/>
      <c r="F30" s="42"/>
      <c r="G30" s="42"/>
    </row>
    <row r="31" spans="1:7" s="39" customFormat="1" ht="12.75">
      <c r="A31" s="50"/>
      <c r="B31" s="40"/>
      <c r="C31" s="40"/>
      <c r="D31" s="40"/>
      <c r="E31" s="68"/>
      <c r="F31" s="42"/>
      <c r="G31" s="42"/>
    </row>
    <row r="32" spans="1:7" ht="28.5" customHeight="1">
      <c r="A32" s="170" t="s">
        <v>35</v>
      </c>
      <c r="B32" s="170"/>
      <c r="C32" s="170"/>
      <c r="D32" s="170"/>
      <c r="E32" s="170"/>
      <c r="F32" s="170"/>
      <c r="G32" s="170"/>
    </row>
    <row r="33" spans="1:7" ht="12.75">
      <c r="A33" s="167"/>
      <c r="B33" s="160"/>
      <c r="C33" s="160"/>
      <c r="D33" s="160"/>
      <c r="E33" s="160"/>
      <c r="F33" s="160"/>
      <c r="G33" s="160"/>
    </row>
    <row r="34" spans="1:7" ht="12.75">
      <c r="A34" s="38" t="s">
        <v>32</v>
      </c>
      <c r="B34" s="171" t="s">
        <v>181</v>
      </c>
      <c r="C34" s="166"/>
      <c r="D34" s="166"/>
      <c r="E34" s="37"/>
      <c r="F34" s="37"/>
      <c r="G34" s="37"/>
    </row>
    <row r="35" spans="1:7" s="81" customFormat="1" ht="15.75">
      <c r="A35" s="79"/>
      <c r="B35" s="171" t="str">
        <f>B4</f>
        <v>HC Engineer 2022 Road Improvement Project</v>
      </c>
      <c r="C35" s="171"/>
      <c r="D35" s="171"/>
      <c r="E35" s="80"/>
      <c r="F35" s="172" t="str">
        <f>F4</f>
        <v>March 8th, 2022 at 9:30 AM</v>
      </c>
      <c r="G35" s="172"/>
    </row>
    <row r="36" spans="2:7" s="39" customFormat="1" ht="12.75">
      <c r="B36" s="38" t="s">
        <v>34</v>
      </c>
      <c r="C36" s="38"/>
      <c r="D36" s="38"/>
      <c r="E36" s="37"/>
      <c r="F36" s="37"/>
      <c r="G36" s="66"/>
    </row>
    <row r="37" spans="1:7" s="39" customFormat="1" ht="12.75">
      <c r="A37" s="40"/>
      <c r="B37" s="40"/>
      <c r="C37" s="40"/>
      <c r="D37" s="40"/>
      <c r="E37" s="41"/>
      <c r="F37" s="42"/>
      <c r="G37" s="42"/>
    </row>
    <row r="38" spans="1:7" s="39" customFormat="1" ht="12.75">
      <c r="A38" s="68" t="str">
        <f>Estimate!A37</f>
        <v>Road Z b/ Road 14- Road M3</v>
      </c>
      <c r="B38" s="68"/>
      <c r="C38" s="68"/>
      <c r="D38" s="68"/>
      <c r="E38" s="68"/>
      <c r="F38" s="42"/>
      <c r="G38" s="42"/>
    </row>
    <row r="39" spans="1:7" s="39" customFormat="1" ht="12.75">
      <c r="A39" s="68" t="str">
        <f>Estimate!A38</f>
        <v>Length:  9900 Feet or 1.88 Mile(s)</v>
      </c>
      <c r="B39" s="67"/>
      <c r="C39" s="68"/>
      <c r="D39" s="70"/>
      <c r="E39" s="71"/>
      <c r="F39" s="42"/>
      <c r="G39" s="42"/>
    </row>
    <row r="40" spans="1:5" s="39" customFormat="1" ht="12.75">
      <c r="A40" s="68" t="str">
        <f>Estimate!A39</f>
        <v>Width:  19 Feet     (Approx. 21020 S.Y. including radius and driveway work)</v>
      </c>
      <c r="B40" s="40"/>
      <c r="C40" s="68"/>
      <c r="D40" s="72"/>
      <c r="E40" s="72"/>
    </row>
    <row r="41" spans="1:7" s="39" customFormat="1" ht="12.75">
      <c r="A41" s="68" t="str">
        <f>Estimate!A40</f>
        <v>Type: ODOT Spec 823 </v>
      </c>
      <c r="B41" s="68"/>
      <c r="C41" s="68"/>
      <c r="D41" s="68"/>
      <c r="E41" s="68"/>
      <c r="F41" s="68"/>
      <c r="G41" s="68"/>
    </row>
    <row r="43" spans="1:7" ht="12.75">
      <c r="A43" s="52" t="s">
        <v>1</v>
      </c>
      <c r="B43" s="52" t="s">
        <v>2</v>
      </c>
      <c r="C43" s="52" t="s">
        <v>36</v>
      </c>
      <c r="D43" s="52" t="s">
        <v>3</v>
      </c>
      <c r="E43" s="73" t="s">
        <v>4</v>
      </c>
      <c r="F43" s="54" t="s">
        <v>5</v>
      </c>
      <c r="G43" s="54" t="s">
        <v>6</v>
      </c>
    </row>
    <row r="44" spans="1:7" ht="24.75" customHeight="1">
      <c r="A44" s="50">
        <f>Estimate!A43</f>
        <v>1</v>
      </c>
      <c r="B44" s="50">
        <f>Estimate!B43</f>
        <v>407</v>
      </c>
      <c r="C44" s="69">
        <f>Estimate!C43</f>
        <v>1050</v>
      </c>
      <c r="D44" s="69" t="str">
        <f>Estimate!D43</f>
        <v>Gal</v>
      </c>
      <c r="E44" s="78" t="str">
        <f>Estimate!E43</f>
        <v>Bituminous Tack Coat applied at 0.05 gallons per square yard</v>
      </c>
      <c r="F44" s="156"/>
      <c r="G44" s="156">
        <f aca="true" t="shared" si="1" ref="G44:G49">F44*C44</f>
        <v>0</v>
      </c>
    </row>
    <row r="45" spans="1:7" ht="32.25" customHeight="1">
      <c r="A45" s="50">
        <f>A44+1</f>
        <v>2</v>
      </c>
      <c r="B45" s="50">
        <f>Estimate!B44</f>
        <v>823</v>
      </c>
      <c r="C45" s="69">
        <f>Estimate!C44</f>
        <v>876</v>
      </c>
      <c r="D45" s="69" t="str">
        <f>Estimate!D44</f>
        <v>C.Y.</v>
      </c>
      <c r="E45" s="78" t="str">
        <f>Estimate!E44</f>
        <v>Asphalt concrete surface course PG 64-22, Type 1 (823) applied, spread and compacted at the average depth of 1.5 inches</v>
      </c>
      <c r="F45" s="156"/>
      <c r="G45" s="156">
        <f t="shared" si="1"/>
        <v>0</v>
      </c>
    </row>
    <row r="46" spans="1:7" ht="32.25" customHeight="1">
      <c r="A46" s="50">
        <f>Estimate!A45</f>
        <v>3</v>
      </c>
      <c r="B46" s="50">
        <f>Estimate!B45</f>
        <v>254</v>
      </c>
      <c r="C46" s="69">
        <f>Estimate!C45</f>
        <v>80</v>
      </c>
      <c r="D46" s="69" t="str">
        <f>Estimate!D45</f>
        <v>S.Y.</v>
      </c>
      <c r="E46" s="78" t="str">
        <f>Estimate!E45</f>
        <v>Pavement Planing (20' length including radius)</v>
      </c>
      <c r="F46" s="156"/>
      <c r="G46" s="156">
        <f t="shared" si="1"/>
        <v>0</v>
      </c>
    </row>
    <row r="47" spans="1:7" ht="32.25" customHeight="1">
      <c r="A47" s="50">
        <f>Estimate!A46</f>
        <v>4</v>
      </c>
      <c r="B47" s="50">
        <f>Estimate!B46</f>
        <v>614</v>
      </c>
      <c r="C47" s="69">
        <f>Estimate!C46</f>
        <v>1</v>
      </c>
      <c r="D47" s="69" t="str">
        <f>Estimate!D46</f>
        <v>L.S.</v>
      </c>
      <c r="E47" s="78" t="str">
        <f>Estimate!E46</f>
        <v>Maintaining Traffic</v>
      </c>
      <c r="F47" s="156"/>
      <c r="G47" s="156">
        <f t="shared" si="1"/>
        <v>0</v>
      </c>
    </row>
    <row r="48" spans="1:7" ht="24.75" customHeight="1">
      <c r="A48" s="50">
        <f>Estimate!A47</f>
        <v>5</v>
      </c>
      <c r="B48" s="50">
        <f>Estimate!B47</f>
        <v>624</v>
      </c>
      <c r="C48" s="69">
        <f>Estimate!C47</f>
        <v>1</v>
      </c>
      <c r="D48" s="69" t="str">
        <f>Estimate!D47</f>
        <v>L.S.</v>
      </c>
      <c r="E48" s="78" t="str">
        <f>Estimate!E47</f>
        <v>Mobilization</v>
      </c>
      <c r="F48" s="156"/>
      <c r="G48" s="156">
        <f t="shared" si="1"/>
        <v>0</v>
      </c>
    </row>
    <row r="49" spans="1:7" ht="24.75" customHeight="1">
      <c r="A49" s="50">
        <f>Estimate!A48</f>
        <v>6</v>
      </c>
      <c r="B49" s="50">
        <f>Estimate!B48</f>
        <v>103.05</v>
      </c>
      <c r="C49" s="69">
        <f>Estimate!C48</f>
        <v>1</v>
      </c>
      <c r="D49" s="69" t="str">
        <f>Estimate!D48</f>
        <v>L.S.</v>
      </c>
      <c r="E49" s="78" t="str">
        <f>Estimate!E48</f>
        <v>Contract Performance &amp; Payment Bond</v>
      </c>
      <c r="F49" s="156"/>
      <c r="G49" s="156">
        <f t="shared" si="1"/>
        <v>0</v>
      </c>
    </row>
    <row r="50" spans="1:7" ht="24.75" customHeight="1" hidden="1">
      <c r="A50" s="50">
        <f>Estimate!A49</f>
        <v>7</v>
      </c>
      <c r="B50" s="50">
        <f>Estimate!B49</f>
      </c>
      <c r="C50" s="69">
        <f>Estimate!C49</f>
        <v>0</v>
      </c>
      <c r="D50" s="69">
        <f>Estimate!D49</f>
        <v>0</v>
      </c>
      <c r="E50" s="78">
        <f>Estimate!E49</f>
        <v>0</v>
      </c>
      <c r="F50" s="74" t="s">
        <v>145</v>
      </c>
      <c r="G50" s="74" t="s">
        <v>146</v>
      </c>
    </row>
    <row r="51" spans="1:7" ht="24.75" customHeight="1" hidden="1">
      <c r="A51" s="50">
        <f>Estimate!A50</f>
        <v>8</v>
      </c>
      <c r="B51" s="50">
        <f>Estimate!B50</f>
      </c>
      <c r="C51" s="69">
        <f>Estimate!C50</f>
        <v>0</v>
      </c>
      <c r="D51" s="69">
        <f>Estimate!D50</f>
        <v>0</v>
      </c>
      <c r="E51" s="78">
        <f>Estimate!E50</f>
        <v>0</v>
      </c>
      <c r="F51" s="74" t="s">
        <v>145</v>
      </c>
      <c r="G51" s="74" t="s">
        <v>146</v>
      </c>
    </row>
    <row r="52" spans="1:7" ht="24.75" customHeight="1" hidden="1">
      <c r="A52" s="50">
        <f>Estimate!A51</f>
        <v>9</v>
      </c>
      <c r="B52" s="50">
        <f>Estimate!B51</f>
      </c>
      <c r="C52" s="69">
        <f>Estimate!C51</f>
      </c>
      <c r="D52" s="69">
        <f>Estimate!D51</f>
      </c>
      <c r="E52" s="78">
        <f>Estimate!E51</f>
      </c>
      <c r="F52" s="74" t="s">
        <v>145</v>
      </c>
      <c r="G52" s="74" t="s">
        <v>146</v>
      </c>
    </row>
    <row r="53" spans="1:7" ht="24.75" customHeight="1" hidden="1">
      <c r="A53" s="50">
        <f>Estimate!A52</f>
        <v>10</v>
      </c>
      <c r="B53" s="50">
        <f>Estimate!B52</f>
      </c>
      <c r="C53" s="69">
        <f>Estimate!C52</f>
      </c>
      <c r="D53" s="69">
        <f>Estimate!D52</f>
      </c>
      <c r="E53" s="78">
        <f>Estimate!E52</f>
      </c>
      <c r="F53" s="74" t="s">
        <v>145</v>
      </c>
      <c r="G53" s="74" t="s">
        <v>146</v>
      </c>
    </row>
    <row r="54" spans="1:7" ht="24.75" customHeight="1" hidden="1">
      <c r="A54" s="50">
        <f>Estimate!A53</f>
        <v>11</v>
      </c>
      <c r="B54" s="50">
        <f>Estimate!B53</f>
      </c>
      <c r="C54" s="69">
        <f>Estimate!C53</f>
      </c>
      <c r="D54" s="69">
        <f>Estimate!D53</f>
      </c>
      <c r="E54" s="78">
        <f>Estimate!E53</f>
      </c>
      <c r="F54" s="74" t="s">
        <v>145</v>
      </c>
      <c r="G54" s="74" t="s">
        <v>146</v>
      </c>
    </row>
    <row r="55" spans="1:7" s="39" customFormat="1" ht="24.75" customHeight="1" hidden="1">
      <c r="A55" s="50">
        <f>Estimate!A54</f>
        <v>12</v>
      </c>
      <c r="B55" s="50">
        <f>Estimate!B54</f>
      </c>
      <c r="C55" s="69">
        <f>Estimate!C54</f>
      </c>
      <c r="D55" s="69">
        <f>Estimate!D54</f>
      </c>
      <c r="E55" s="78">
        <f>Estimate!E54</f>
      </c>
      <c r="F55" s="74" t="s">
        <v>145</v>
      </c>
      <c r="G55" s="74" t="s">
        <v>146</v>
      </c>
    </row>
    <row r="56" spans="1:7" s="39" customFormat="1" ht="24.75" customHeight="1" hidden="1">
      <c r="A56" s="50">
        <f>Estimate!A55</f>
        <v>13</v>
      </c>
      <c r="B56" s="50">
        <f>Estimate!B55</f>
      </c>
      <c r="C56" s="69">
        <f>Estimate!C55</f>
      </c>
      <c r="D56" s="69">
        <f>Estimate!D55</f>
      </c>
      <c r="E56" s="78">
        <f>Estimate!E55</f>
      </c>
      <c r="F56" s="74" t="s">
        <v>145</v>
      </c>
      <c r="G56" s="74" t="s">
        <v>146</v>
      </c>
    </row>
    <row r="57" spans="1:7" s="39" customFormat="1" ht="24.75" customHeight="1" hidden="1">
      <c r="A57" s="50">
        <f>Estimate!A56</f>
        <v>14</v>
      </c>
      <c r="B57" s="50">
        <f>Estimate!B56</f>
      </c>
      <c r="C57" s="69">
        <f>Estimate!C56</f>
      </c>
      <c r="D57" s="69">
        <f>Estimate!D56</f>
      </c>
      <c r="E57" s="78">
        <f>Estimate!E56</f>
      </c>
      <c r="F57" s="74" t="s">
        <v>145</v>
      </c>
      <c r="G57" s="74" t="s">
        <v>146</v>
      </c>
    </row>
    <row r="58" spans="1:7" s="39" customFormat="1" ht="24.75" customHeight="1" hidden="1">
      <c r="A58" s="50">
        <f>Estimate!A57</f>
        <v>15</v>
      </c>
      <c r="B58" s="50">
        <f>Estimate!B57</f>
      </c>
      <c r="C58" s="69">
        <f>Estimate!C57</f>
      </c>
      <c r="D58" s="69">
        <f>Estimate!D57</f>
      </c>
      <c r="E58" s="78">
        <f>Estimate!E57</f>
      </c>
      <c r="F58" s="74" t="s">
        <v>145</v>
      </c>
      <c r="G58" s="74" t="s">
        <v>146</v>
      </c>
    </row>
    <row r="59" spans="1:7" s="39" customFormat="1" ht="24.75" customHeight="1" hidden="1">
      <c r="A59" s="50">
        <f>Estimate!A58</f>
        <v>16</v>
      </c>
      <c r="B59" s="50">
        <f>Estimate!B58</f>
      </c>
      <c r="C59" s="69">
        <f>Estimate!C58</f>
      </c>
      <c r="D59" s="69">
        <f>Estimate!D58</f>
      </c>
      <c r="E59" s="78">
        <f>Estimate!E58</f>
      </c>
      <c r="F59" s="74" t="s">
        <v>145</v>
      </c>
      <c r="G59" s="74" t="s">
        <v>146</v>
      </c>
    </row>
    <row r="60" spans="1:7" s="39" customFormat="1" ht="24.75" customHeight="1">
      <c r="A60" s="50"/>
      <c r="B60" s="40"/>
      <c r="C60" s="40"/>
      <c r="D60" s="40"/>
      <c r="E60" s="77" t="s">
        <v>147</v>
      </c>
      <c r="F60" s="42"/>
      <c r="G60" s="157">
        <f>SUM(G44:G49)</f>
        <v>0</v>
      </c>
    </row>
    <row r="61" spans="1:7" s="39" customFormat="1" ht="12.75">
      <c r="A61" s="50"/>
      <c r="B61" s="40"/>
      <c r="C61" s="40"/>
      <c r="D61" s="40"/>
      <c r="E61" s="68"/>
      <c r="F61" s="42"/>
      <c r="G61" s="42"/>
    </row>
    <row r="62" spans="1:7" s="39" customFormat="1" ht="12.75">
      <c r="A62" s="50"/>
      <c r="B62" s="40"/>
      <c r="C62" s="40"/>
      <c r="D62" s="40"/>
      <c r="E62" s="68"/>
      <c r="F62" s="42"/>
      <c r="G62" s="42"/>
    </row>
    <row r="63" spans="1:7" ht="28.5" customHeight="1">
      <c r="A63" s="170" t="s">
        <v>35</v>
      </c>
      <c r="B63" s="170"/>
      <c r="C63" s="170"/>
      <c r="D63" s="170"/>
      <c r="E63" s="170"/>
      <c r="F63" s="170"/>
      <c r="G63" s="170"/>
    </row>
    <row r="64" spans="1:7" ht="12.75">
      <c r="A64" s="167"/>
      <c r="B64" s="160"/>
      <c r="C64" s="160"/>
      <c r="D64" s="160"/>
      <c r="E64" s="160"/>
      <c r="F64" s="160"/>
      <c r="G64" s="160"/>
    </row>
    <row r="65" spans="1:7" ht="12.75">
      <c r="A65" s="38" t="s">
        <v>32</v>
      </c>
      <c r="B65" s="171" t="s">
        <v>181</v>
      </c>
      <c r="C65" s="166"/>
      <c r="D65" s="166"/>
      <c r="E65" s="37"/>
      <c r="F65" s="37"/>
      <c r="G65" s="37"/>
    </row>
    <row r="66" spans="1:7" s="81" customFormat="1" ht="15.75">
      <c r="A66" s="79"/>
      <c r="B66" s="171" t="str">
        <f>B35</f>
        <v>HC Engineer 2022 Road Improvement Project</v>
      </c>
      <c r="C66" s="171"/>
      <c r="D66" s="171"/>
      <c r="E66" s="80"/>
      <c r="F66" s="172" t="str">
        <f>F35</f>
        <v>March 8th, 2022 at 9:30 AM</v>
      </c>
      <c r="G66" s="172"/>
    </row>
    <row r="67" spans="2:7" s="39" customFormat="1" ht="12.75">
      <c r="B67" s="38" t="s">
        <v>34</v>
      </c>
      <c r="C67" s="38"/>
      <c r="D67" s="38"/>
      <c r="E67" s="37"/>
      <c r="F67" s="37"/>
      <c r="G67" s="66"/>
    </row>
    <row r="68" spans="1:7" s="39" customFormat="1" ht="12.75">
      <c r="A68" s="40"/>
      <c r="B68" s="40"/>
      <c r="C68" s="40"/>
      <c r="D68" s="40"/>
      <c r="E68" s="41"/>
      <c r="F68" s="42"/>
      <c r="G68" s="42"/>
    </row>
    <row r="69" spans="1:7" s="39" customFormat="1" ht="12.75">
      <c r="A69" s="68" t="str">
        <f>Estimate!A68</f>
        <v>Road M3 b/ Road 14- Road Z</v>
      </c>
      <c r="B69" s="68"/>
      <c r="C69" s="68"/>
      <c r="D69" s="68"/>
      <c r="E69" s="68"/>
      <c r="F69" s="42"/>
      <c r="G69" s="42"/>
    </row>
    <row r="70" spans="1:7" s="39" customFormat="1" ht="12.75">
      <c r="A70" s="68" t="str">
        <f>Estimate!A69</f>
        <v>Length:  1865 Feet or 0.35 Mile(s)</v>
      </c>
      <c r="B70" s="67"/>
      <c r="C70" s="68"/>
      <c r="D70" s="70"/>
      <c r="E70" s="71"/>
      <c r="F70" s="42"/>
      <c r="G70" s="42"/>
    </row>
    <row r="71" spans="1:5" s="39" customFormat="1" ht="12.75">
      <c r="A71" s="68" t="str">
        <f>Estimate!A70</f>
        <v>Width:  19 Feet     (Approx. 3975 S.Y. including radius and driveway work)</v>
      </c>
      <c r="B71" s="40"/>
      <c r="C71" s="68"/>
      <c r="D71" s="72"/>
      <c r="E71" s="72"/>
    </row>
    <row r="72" spans="1:7" s="39" customFormat="1" ht="12.75">
      <c r="A72" s="68" t="str">
        <f>Estimate!A71</f>
        <v>Type: ODOT Spec 823 </v>
      </c>
      <c r="B72" s="68"/>
      <c r="C72" s="68"/>
      <c r="D72" s="68"/>
      <c r="E72" s="68"/>
      <c r="F72" s="68"/>
      <c r="G72" s="68"/>
    </row>
    <row r="74" spans="1:7" ht="12.75">
      <c r="A74" s="52" t="s">
        <v>1</v>
      </c>
      <c r="B74" s="52" t="s">
        <v>2</v>
      </c>
      <c r="C74" s="52" t="s">
        <v>36</v>
      </c>
      <c r="D74" s="52" t="s">
        <v>3</v>
      </c>
      <c r="E74" s="73" t="s">
        <v>4</v>
      </c>
      <c r="F74" s="54" t="s">
        <v>5</v>
      </c>
      <c r="G74" s="54" t="s">
        <v>6</v>
      </c>
    </row>
    <row r="75" spans="1:7" ht="24.75" customHeight="1">
      <c r="A75" s="50">
        <f>Estimate!A74</f>
        <v>1</v>
      </c>
      <c r="B75" s="50">
        <f>Estimate!B74</f>
        <v>407</v>
      </c>
      <c r="C75" s="69">
        <f>Estimate!C74</f>
        <v>200</v>
      </c>
      <c r="D75" s="69" t="str">
        <f>Estimate!D74</f>
        <v>Gal</v>
      </c>
      <c r="E75" s="78" t="str">
        <f>Estimate!E74</f>
        <v>Bituminous Tack Coat applied at 0.05 gallons per square yard</v>
      </c>
      <c r="F75" s="156"/>
      <c r="G75" s="156">
        <f>F75*C75</f>
        <v>0</v>
      </c>
    </row>
    <row r="76" spans="1:7" ht="32.25" customHeight="1">
      <c r="A76" s="50">
        <f>A75+1</f>
        <v>2</v>
      </c>
      <c r="B76" s="50">
        <f>Estimate!B75</f>
        <v>823</v>
      </c>
      <c r="C76" s="69">
        <f>Estimate!C75</f>
        <v>166</v>
      </c>
      <c r="D76" s="69" t="str">
        <f>Estimate!D75</f>
        <v>C.Y.</v>
      </c>
      <c r="E76" s="78" t="str">
        <f>Estimate!E75</f>
        <v>Asphalt concrete surface course PG 64-22, Type 1 (823) applied, spread and compacted at the average depth of 1.5 inches</v>
      </c>
      <c r="F76" s="156"/>
      <c r="G76" s="156">
        <f aca="true" t="shared" si="2" ref="G76:G90">F76*C76</f>
        <v>0</v>
      </c>
    </row>
    <row r="77" spans="1:7" ht="32.25" customHeight="1">
      <c r="A77" s="50">
        <f>Estimate!A76</f>
        <v>3</v>
      </c>
      <c r="B77" s="50">
        <f>Estimate!B76</f>
        <v>614</v>
      </c>
      <c r="C77" s="69">
        <f>Estimate!C76</f>
        <v>1</v>
      </c>
      <c r="D77" s="69" t="str">
        <f>Estimate!D76</f>
        <v>L.S.</v>
      </c>
      <c r="E77" s="78" t="str">
        <f>Estimate!E76</f>
        <v>Maintaining Traffic</v>
      </c>
      <c r="F77" s="156"/>
      <c r="G77" s="156">
        <f t="shared" si="2"/>
        <v>0</v>
      </c>
    </row>
    <row r="78" spans="1:7" ht="32.25" customHeight="1">
      <c r="A78" s="50">
        <f>Estimate!A77</f>
        <v>4</v>
      </c>
      <c r="B78" s="50">
        <f>Estimate!B77</f>
        <v>624</v>
      </c>
      <c r="C78" s="69">
        <f>Estimate!C77</f>
        <v>1</v>
      </c>
      <c r="D78" s="69" t="str">
        <f>Estimate!D77</f>
        <v>L.S.</v>
      </c>
      <c r="E78" s="78" t="str">
        <f>Estimate!E77</f>
        <v>Mobilization</v>
      </c>
      <c r="F78" s="156"/>
      <c r="G78" s="156">
        <f t="shared" si="2"/>
        <v>0</v>
      </c>
    </row>
    <row r="79" spans="1:7" ht="24.75" customHeight="1">
      <c r="A79" s="50">
        <f>Estimate!A78</f>
        <v>5</v>
      </c>
      <c r="B79" s="50">
        <f>Estimate!B78</f>
        <v>103.05</v>
      </c>
      <c r="C79" s="69">
        <f>Estimate!C78</f>
        <v>1</v>
      </c>
      <c r="D79" s="69" t="str">
        <f>Estimate!D78</f>
        <v>L.S.</v>
      </c>
      <c r="E79" s="78" t="str">
        <f>Estimate!E78</f>
        <v>Contract Performance &amp; Payment Bond</v>
      </c>
      <c r="F79" s="156"/>
      <c r="G79" s="156">
        <f t="shared" si="2"/>
        <v>0</v>
      </c>
    </row>
    <row r="80" spans="1:7" ht="24.75" customHeight="1" hidden="1">
      <c r="A80" s="50">
        <f>Estimate!A79</f>
        <v>6</v>
      </c>
      <c r="B80" s="50">
        <f>Estimate!B79</f>
      </c>
      <c r="C80" s="69">
        <f>Estimate!C79</f>
      </c>
      <c r="D80" s="69">
        <f>Estimate!D79</f>
      </c>
      <c r="E80" s="78">
        <f>Estimate!E79</f>
      </c>
      <c r="F80" s="74" t="s">
        <v>145</v>
      </c>
      <c r="G80" s="74" t="e">
        <f t="shared" si="2"/>
        <v>#VALUE!</v>
      </c>
    </row>
    <row r="81" spans="1:7" ht="24.75" customHeight="1" hidden="1">
      <c r="A81" s="50">
        <f>Estimate!A80</f>
        <v>7</v>
      </c>
      <c r="B81" s="50">
        <f>Estimate!B80</f>
      </c>
      <c r="C81" s="69">
        <f>Estimate!C80</f>
      </c>
      <c r="D81" s="69">
        <f>Estimate!D80</f>
      </c>
      <c r="E81" s="78">
        <f>Estimate!E80</f>
      </c>
      <c r="F81" s="74" t="s">
        <v>145</v>
      </c>
      <c r="G81" s="74" t="e">
        <f t="shared" si="2"/>
        <v>#VALUE!</v>
      </c>
    </row>
    <row r="82" spans="1:7" ht="24.75" customHeight="1" hidden="1">
      <c r="A82" s="50">
        <f>Estimate!A81</f>
        <v>8</v>
      </c>
      <c r="B82" s="50">
        <f>Estimate!B81</f>
      </c>
      <c r="C82" s="69">
        <f>Estimate!C81</f>
      </c>
      <c r="D82" s="69">
        <f>Estimate!D81</f>
      </c>
      <c r="E82" s="78">
        <f>Estimate!E81</f>
      </c>
      <c r="F82" s="74" t="s">
        <v>145</v>
      </c>
      <c r="G82" s="74" t="e">
        <f t="shared" si="2"/>
        <v>#VALUE!</v>
      </c>
    </row>
    <row r="83" spans="1:7" ht="24.75" customHeight="1" hidden="1">
      <c r="A83" s="50">
        <f>Estimate!A82</f>
        <v>9</v>
      </c>
      <c r="B83" s="50">
        <f>Estimate!B82</f>
      </c>
      <c r="C83" s="69">
        <f>Estimate!C82</f>
      </c>
      <c r="D83" s="69">
        <f>Estimate!D82</f>
      </c>
      <c r="E83" s="78">
        <f>Estimate!E82</f>
      </c>
      <c r="F83" s="74" t="s">
        <v>145</v>
      </c>
      <c r="G83" s="74" t="e">
        <f t="shared" si="2"/>
        <v>#VALUE!</v>
      </c>
    </row>
    <row r="84" spans="1:7" ht="24.75" customHeight="1" hidden="1">
      <c r="A84" s="50">
        <f>Estimate!A83</f>
        <v>10</v>
      </c>
      <c r="B84" s="50">
        <f>Estimate!B83</f>
      </c>
      <c r="C84" s="69">
        <f>Estimate!C83</f>
      </c>
      <c r="D84" s="69">
        <f>Estimate!D83</f>
      </c>
      <c r="E84" s="78">
        <f>Estimate!E83</f>
      </c>
      <c r="F84" s="74" t="s">
        <v>145</v>
      </c>
      <c r="G84" s="74" t="e">
        <f t="shared" si="2"/>
        <v>#VALUE!</v>
      </c>
    </row>
    <row r="85" spans="1:7" ht="24.75" customHeight="1" hidden="1">
      <c r="A85" s="50">
        <f>Estimate!A84</f>
        <v>11</v>
      </c>
      <c r="B85" s="50">
        <f>Estimate!B84</f>
      </c>
      <c r="C85" s="69">
        <f>Estimate!C84</f>
      </c>
      <c r="D85" s="69">
        <f>Estimate!D84</f>
      </c>
      <c r="E85" s="78">
        <f>Estimate!E84</f>
      </c>
      <c r="F85" s="74" t="s">
        <v>145</v>
      </c>
      <c r="G85" s="74" t="e">
        <f t="shared" si="2"/>
        <v>#VALUE!</v>
      </c>
    </row>
    <row r="86" spans="1:7" s="39" customFormat="1" ht="24.75" customHeight="1" hidden="1">
      <c r="A86" s="50">
        <f>Estimate!A85</f>
        <v>12</v>
      </c>
      <c r="B86" s="50">
        <f>Estimate!B85</f>
      </c>
      <c r="C86" s="69">
        <f>Estimate!C85</f>
      </c>
      <c r="D86" s="69">
        <f>Estimate!D85</f>
      </c>
      <c r="E86" s="78">
        <f>Estimate!E85</f>
      </c>
      <c r="F86" s="74" t="s">
        <v>145</v>
      </c>
      <c r="G86" s="74" t="e">
        <f t="shared" si="2"/>
        <v>#VALUE!</v>
      </c>
    </row>
    <row r="87" spans="1:7" s="39" customFormat="1" ht="24.75" customHeight="1" hidden="1">
      <c r="A87" s="50">
        <f>Estimate!A86</f>
        <v>13</v>
      </c>
      <c r="B87" s="50">
        <f>Estimate!B86</f>
      </c>
      <c r="C87" s="69">
        <f>Estimate!C86</f>
      </c>
      <c r="D87" s="69">
        <f>Estimate!D86</f>
      </c>
      <c r="E87" s="78">
        <f>Estimate!E86</f>
      </c>
      <c r="F87" s="74" t="s">
        <v>145</v>
      </c>
      <c r="G87" s="74" t="e">
        <f t="shared" si="2"/>
        <v>#VALUE!</v>
      </c>
    </row>
    <row r="88" spans="1:7" s="39" customFormat="1" ht="24.75" customHeight="1" hidden="1">
      <c r="A88" s="50">
        <f>Estimate!A87</f>
        <v>14</v>
      </c>
      <c r="B88" s="50">
        <f>Estimate!B87</f>
      </c>
      <c r="C88" s="69">
        <f>Estimate!C87</f>
      </c>
      <c r="D88" s="69">
        <f>Estimate!D87</f>
      </c>
      <c r="E88" s="78">
        <f>Estimate!E87</f>
      </c>
      <c r="F88" s="74" t="s">
        <v>145</v>
      </c>
      <c r="G88" s="74" t="e">
        <f t="shared" si="2"/>
        <v>#VALUE!</v>
      </c>
    </row>
    <row r="89" spans="1:7" s="39" customFormat="1" ht="24.75" customHeight="1" hidden="1">
      <c r="A89" s="50">
        <f>Estimate!A88</f>
        <v>15</v>
      </c>
      <c r="B89" s="50">
        <f>Estimate!B88</f>
      </c>
      <c r="C89" s="69">
        <f>Estimate!C88</f>
      </c>
      <c r="D89" s="69">
        <f>Estimate!D88</f>
      </c>
      <c r="E89" s="78">
        <f>Estimate!E88</f>
      </c>
      <c r="F89" s="74" t="s">
        <v>145</v>
      </c>
      <c r="G89" s="74" t="e">
        <f t="shared" si="2"/>
        <v>#VALUE!</v>
      </c>
    </row>
    <row r="90" spans="1:7" s="39" customFormat="1" ht="24.75" customHeight="1" hidden="1">
      <c r="A90" s="50">
        <f>Estimate!A89</f>
        <v>16</v>
      </c>
      <c r="B90" s="50">
        <f>Estimate!B89</f>
      </c>
      <c r="C90" s="69">
        <f>Estimate!C89</f>
      </c>
      <c r="D90" s="69">
        <f>Estimate!D89</f>
      </c>
      <c r="E90" s="78">
        <f>Estimate!E89</f>
      </c>
      <c r="F90" s="74" t="s">
        <v>145</v>
      </c>
      <c r="G90" s="74" t="e">
        <f t="shared" si="2"/>
        <v>#VALUE!</v>
      </c>
    </row>
    <row r="91" spans="1:7" s="39" customFormat="1" ht="24.75" customHeight="1">
      <c r="A91" s="50"/>
      <c r="B91" s="40"/>
      <c r="C91" s="40"/>
      <c r="D91" s="40"/>
      <c r="E91" s="77" t="s">
        <v>147</v>
      </c>
      <c r="F91" s="42"/>
      <c r="G91" s="157">
        <f>SUM(G75:G79)</f>
        <v>0</v>
      </c>
    </row>
    <row r="92" spans="1:7" s="39" customFormat="1" ht="12.75">
      <c r="A92" s="50"/>
      <c r="B92" s="40"/>
      <c r="C92" s="40"/>
      <c r="D92" s="40"/>
      <c r="E92" s="68"/>
      <c r="F92" s="42"/>
      <c r="G92" s="42"/>
    </row>
    <row r="93" spans="1:7" s="39" customFormat="1" ht="12.75">
      <c r="A93" s="50"/>
      <c r="B93" s="40"/>
      <c r="C93" s="40"/>
      <c r="D93" s="40"/>
      <c r="E93" s="68"/>
      <c r="F93" s="42"/>
      <c r="G93" s="42"/>
    </row>
    <row r="94" spans="1:7" ht="28.5" customHeight="1">
      <c r="A94" s="170" t="s">
        <v>35</v>
      </c>
      <c r="B94" s="170"/>
      <c r="C94" s="170"/>
      <c r="D94" s="170"/>
      <c r="E94" s="170"/>
      <c r="F94" s="170"/>
      <c r="G94" s="170"/>
    </row>
    <row r="95" spans="1:7" ht="12.75">
      <c r="A95" s="167"/>
      <c r="B95" s="160"/>
      <c r="C95" s="160"/>
      <c r="D95" s="160"/>
      <c r="E95" s="160"/>
      <c r="F95" s="160"/>
      <c r="G95" s="160"/>
    </row>
    <row r="96" spans="1:7" ht="12.75">
      <c r="A96" s="38" t="s">
        <v>32</v>
      </c>
      <c r="B96" s="171" t="s">
        <v>181</v>
      </c>
      <c r="C96" s="166"/>
      <c r="D96" s="166"/>
      <c r="E96" s="37"/>
      <c r="F96" s="37"/>
      <c r="G96" s="37"/>
    </row>
    <row r="97" spans="1:7" s="81" customFormat="1" ht="15.75">
      <c r="A97" s="79"/>
      <c r="B97" s="171" t="str">
        <f>B66</f>
        <v>HC Engineer 2022 Road Improvement Project</v>
      </c>
      <c r="C97" s="171"/>
      <c r="D97" s="171"/>
      <c r="E97" s="80"/>
      <c r="F97" s="172" t="str">
        <f>F66</f>
        <v>March 8th, 2022 at 9:30 AM</v>
      </c>
      <c r="G97" s="172"/>
    </row>
    <row r="98" spans="2:7" s="39" customFormat="1" ht="12.75">
      <c r="B98" s="38" t="s">
        <v>34</v>
      </c>
      <c r="C98" s="38"/>
      <c r="D98" s="38"/>
      <c r="E98" s="37"/>
      <c r="F98" s="37"/>
      <c r="G98" s="66"/>
    </row>
    <row r="99" spans="1:7" s="39" customFormat="1" ht="12.75">
      <c r="A99" s="40"/>
      <c r="B99" s="40"/>
      <c r="C99" s="40"/>
      <c r="D99" s="40"/>
      <c r="E99" s="41"/>
      <c r="F99" s="42"/>
      <c r="G99" s="42"/>
    </row>
    <row r="100" spans="1:7" s="39" customFormat="1" ht="12.75">
      <c r="A100" s="68" t="str">
        <f>Estimate!A99</f>
        <v>Road 17D b/ 424- Road L</v>
      </c>
      <c r="B100" s="68"/>
      <c r="C100" s="68"/>
      <c r="D100" s="68"/>
      <c r="E100" s="68"/>
      <c r="F100" s="42"/>
      <c r="G100" s="42"/>
    </row>
    <row r="101" spans="1:7" s="39" customFormat="1" ht="12.75">
      <c r="A101" s="68" t="str">
        <f>Estimate!A100</f>
        <v>Length:  1705 Feet or 0.32 Mile(s)</v>
      </c>
      <c r="B101" s="67"/>
      <c r="C101" s="68"/>
      <c r="D101" s="70"/>
      <c r="E101" s="71"/>
      <c r="F101" s="42"/>
      <c r="G101" s="42"/>
    </row>
    <row r="102" spans="1:5" s="39" customFormat="1" ht="12.75">
      <c r="A102" s="68" t="str">
        <f>Estimate!A101</f>
        <v>Width:  19.5 Feet     (Approx. 3735 S.Y. including radius and driveway work)</v>
      </c>
      <c r="B102" s="40"/>
      <c r="C102" s="68"/>
      <c r="D102" s="72"/>
      <c r="E102" s="72"/>
    </row>
    <row r="103" spans="1:7" s="39" customFormat="1" ht="12.75">
      <c r="A103" s="68" t="str">
        <f>Estimate!A102</f>
        <v>Type: ODOT Spec 823 </v>
      </c>
      <c r="B103" s="68"/>
      <c r="C103" s="68"/>
      <c r="D103" s="68"/>
      <c r="E103" s="68"/>
      <c r="F103" s="68"/>
      <c r="G103" s="68"/>
    </row>
    <row r="105" spans="1:7" ht="12.75">
      <c r="A105" s="52" t="s">
        <v>1</v>
      </c>
      <c r="B105" s="52" t="s">
        <v>2</v>
      </c>
      <c r="C105" s="52" t="s">
        <v>36</v>
      </c>
      <c r="D105" s="52" t="s">
        <v>3</v>
      </c>
      <c r="E105" s="73" t="s">
        <v>4</v>
      </c>
      <c r="F105" s="54" t="s">
        <v>5</v>
      </c>
      <c r="G105" s="54" t="s">
        <v>6</v>
      </c>
    </row>
    <row r="106" spans="1:7" ht="24.75" customHeight="1">
      <c r="A106" s="50">
        <f>Estimate!A105</f>
        <v>1</v>
      </c>
      <c r="B106" s="50">
        <f>Estimate!B105</f>
        <v>407</v>
      </c>
      <c r="C106" s="69">
        <f>Estimate!C105</f>
        <v>185</v>
      </c>
      <c r="D106" s="69" t="str">
        <f>Estimate!D105</f>
        <v>Gal</v>
      </c>
      <c r="E106" s="78" t="str">
        <f>Estimate!E105</f>
        <v>Bituminous Tack Coat applied at 0.05 gallons per square yard</v>
      </c>
      <c r="F106" s="156"/>
      <c r="G106" s="156">
        <f>F106*C106</f>
        <v>0</v>
      </c>
    </row>
    <row r="107" spans="1:7" ht="32.25" customHeight="1">
      <c r="A107" s="50">
        <f>A106+1</f>
        <v>2</v>
      </c>
      <c r="B107" s="50">
        <f>Estimate!B106</f>
        <v>823</v>
      </c>
      <c r="C107" s="69">
        <f>Estimate!C106</f>
        <v>156</v>
      </c>
      <c r="D107" s="69" t="str">
        <f>Estimate!D106</f>
        <v>C.Y.</v>
      </c>
      <c r="E107" s="78" t="str">
        <f>Estimate!E106</f>
        <v>Asphalt concrete surface course PG 64-22, Type 1 (823) applied, spread and compacted at the average depth of 1.5 inches</v>
      </c>
      <c r="F107" s="156"/>
      <c r="G107" s="156">
        <f aca="true" t="shared" si="3" ref="G107:G113">F107*C107</f>
        <v>0</v>
      </c>
    </row>
    <row r="108" spans="1:7" ht="32.25" customHeight="1">
      <c r="A108" s="50">
        <f>Estimate!A107</f>
        <v>3</v>
      </c>
      <c r="B108" s="50">
        <f>Estimate!B107</f>
        <v>254</v>
      </c>
      <c r="C108" s="69">
        <f>Estimate!C107</f>
        <v>375</v>
      </c>
      <c r="D108" s="69" t="str">
        <f>Estimate!D107</f>
        <v>S.Y.</v>
      </c>
      <c r="E108" s="78" t="str">
        <f>Estimate!E107</f>
        <v>Pavement Planing (20' length including radius)</v>
      </c>
      <c r="F108" s="156"/>
      <c r="G108" s="156">
        <f t="shared" si="3"/>
        <v>0</v>
      </c>
    </row>
    <row r="109" spans="1:7" ht="32.25" customHeight="1">
      <c r="A109" s="50">
        <f>Estimate!A108</f>
        <v>4</v>
      </c>
      <c r="B109" s="50">
        <f>Estimate!B108</f>
        <v>614</v>
      </c>
      <c r="C109" s="69">
        <f>Estimate!C108</f>
        <v>1</v>
      </c>
      <c r="D109" s="69" t="str">
        <f>Estimate!D108</f>
        <v>L.S.</v>
      </c>
      <c r="E109" s="78" t="str">
        <f>Estimate!E108</f>
        <v>Maintaining Traffic</v>
      </c>
      <c r="F109" s="156"/>
      <c r="G109" s="156">
        <f t="shared" si="3"/>
        <v>0</v>
      </c>
    </row>
    <row r="110" spans="1:7" ht="24.75" customHeight="1">
      <c r="A110" s="50">
        <f>Estimate!A109</f>
        <v>5</v>
      </c>
      <c r="B110" s="50">
        <f>Estimate!B109</f>
        <v>624</v>
      </c>
      <c r="C110" s="69">
        <f>Estimate!C109</f>
        <v>1</v>
      </c>
      <c r="D110" s="69" t="str">
        <f>Estimate!D109</f>
        <v>L.S.</v>
      </c>
      <c r="E110" s="78" t="str">
        <f>Estimate!E109</f>
        <v>Mobilization</v>
      </c>
      <c r="F110" s="156"/>
      <c r="G110" s="156">
        <f t="shared" si="3"/>
        <v>0</v>
      </c>
    </row>
    <row r="111" spans="1:7" ht="24.75" customHeight="1">
      <c r="A111" s="50">
        <f>Estimate!A110</f>
        <v>6</v>
      </c>
      <c r="B111" s="50">
        <f>Estimate!B110</f>
        <v>103.05</v>
      </c>
      <c r="C111" s="69">
        <f>Estimate!C110</f>
        <v>1</v>
      </c>
      <c r="D111" s="69" t="str">
        <f>Estimate!D110</f>
        <v>L.S.</v>
      </c>
      <c r="E111" s="78" t="str">
        <f>Estimate!E110</f>
        <v>Contract Performance &amp; Payment Bond</v>
      </c>
      <c r="F111" s="156"/>
      <c r="G111" s="156">
        <f t="shared" si="3"/>
        <v>0</v>
      </c>
    </row>
    <row r="112" spans="1:7" ht="24.75" customHeight="1">
      <c r="A112" s="50">
        <f>Estimate!A111</f>
        <v>7</v>
      </c>
      <c r="B112" s="50">
        <f>Estimate!B111</f>
        <v>611</v>
      </c>
      <c r="C112" s="69">
        <f>Estimate!C111</f>
        <v>2</v>
      </c>
      <c r="D112" s="69" t="str">
        <f>Estimate!D111</f>
        <v>Each</v>
      </c>
      <c r="E112" s="78" t="str">
        <f>Estimate!E111</f>
        <v>Water Valve Adjusted to Grade</v>
      </c>
      <c r="F112" s="156"/>
      <c r="G112" s="156">
        <f t="shared" si="3"/>
        <v>0</v>
      </c>
    </row>
    <row r="113" spans="1:7" ht="24.75" customHeight="1">
      <c r="A113" s="50">
        <f>Estimate!A112</f>
        <v>8</v>
      </c>
      <c r="B113" s="50">
        <f>Estimate!B112</f>
        <v>611</v>
      </c>
      <c r="C113" s="69">
        <f>Estimate!C112</f>
        <v>4</v>
      </c>
      <c r="D113" s="69" t="str">
        <f>Estimate!D112</f>
        <v>Each</v>
      </c>
      <c r="E113" s="78" t="str">
        <f>Estimate!E112</f>
        <v>Manhole Adjusted to Grade</v>
      </c>
      <c r="F113" s="156"/>
      <c r="G113" s="156">
        <f t="shared" si="3"/>
        <v>0</v>
      </c>
    </row>
    <row r="114" spans="1:7" ht="24.75" customHeight="1" hidden="1">
      <c r="A114" s="50">
        <f>Estimate!A113</f>
        <v>9</v>
      </c>
      <c r="B114" s="50">
        <f>Estimate!B113</f>
      </c>
      <c r="C114" s="69">
        <f>Estimate!C113</f>
      </c>
      <c r="D114" s="69">
        <f>Estimate!D113</f>
      </c>
      <c r="E114" s="78">
        <f>Estimate!E113</f>
      </c>
      <c r="F114" s="74" t="s">
        <v>145</v>
      </c>
      <c r="G114" s="74" t="s">
        <v>146</v>
      </c>
    </row>
    <row r="115" spans="1:7" ht="24.75" customHeight="1" hidden="1">
      <c r="A115" s="50">
        <f>Estimate!A114</f>
        <v>10</v>
      </c>
      <c r="B115" s="50">
        <f>Estimate!B114</f>
      </c>
      <c r="C115" s="69">
        <f>Estimate!C114</f>
      </c>
      <c r="D115" s="69">
        <f>Estimate!D114</f>
      </c>
      <c r="E115" s="78">
        <f>Estimate!E114</f>
      </c>
      <c r="F115" s="74" t="s">
        <v>145</v>
      </c>
      <c r="G115" s="74" t="s">
        <v>146</v>
      </c>
    </row>
    <row r="116" spans="1:7" ht="24.75" customHeight="1" hidden="1">
      <c r="A116" s="50">
        <f>Estimate!A115</f>
        <v>11</v>
      </c>
      <c r="B116" s="50">
        <f>Estimate!B115</f>
      </c>
      <c r="C116" s="69">
        <f>Estimate!C115</f>
      </c>
      <c r="D116" s="69">
        <f>Estimate!D115</f>
      </c>
      <c r="E116" s="78">
        <f>Estimate!E115</f>
      </c>
      <c r="F116" s="74" t="s">
        <v>145</v>
      </c>
      <c r="G116" s="74" t="s">
        <v>146</v>
      </c>
    </row>
    <row r="117" spans="1:7" s="39" customFormat="1" ht="24.75" customHeight="1" hidden="1">
      <c r="A117" s="50">
        <f>Estimate!A116</f>
        <v>12</v>
      </c>
      <c r="B117" s="50">
        <f>Estimate!B116</f>
      </c>
      <c r="C117" s="69">
        <f>Estimate!C116</f>
      </c>
      <c r="D117" s="69">
        <f>Estimate!D116</f>
      </c>
      <c r="E117" s="78">
        <f>Estimate!E116</f>
      </c>
      <c r="F117" s="74" t="s">
        <v>145</v>
      </c>
      <c r="G117" s="74" t="s">
        <v>146</v>
      </c>
    </row>
    <row r="118" spans="1:7" s="39" customFormat="1" ht="24.75" customHeight="1" hidden="1">
      <c r="A118" s="50">
        <f>Estimate!A117</f>
        <v>13</v>
      </c>
      <c r="B118" s="50">
        <f>Estimate!B117</f>
      </c>
      <c r="C118" s="69">
        <f>Estimate!C117</f>
      </c>
      <c r="D118" s="69">
        <f>Estimate!D117</f>
      </c>
      <c r="E118" s="78">
        <f>Estimate!E117</f>
      </c>
      <c r="F118" s="74" t="s">
        <v>145</v>
      </c>
      <c r="G118" s="74" t="s">
        <v>146</v>
      </c>
    </row>
    <row r="119" spans="1:7" s="39" customFormat="1" ht="24.75" customHeight="1" hidden="1">
      <c r="A119" s="50">
        <f>Estimate!A118</f>
        <v>14</v>
      </c>
      <c r="B119" s="50">
        <f>Estimate!B118</f>
      </c>
      <c r="C119" s="69">
        <f>Estimate!C118</f>
      </c>
      <c r="D119" s="69">
        <f>Estimate!D118</f>
      </c>
      <c r="E119" s="78">
        <f>Estimate!E118</f>
      </c>
      <c r="F119" s="74" t="s">
        <v>145</v>
      </c>
      <c r="G119" s="74" t="s">
        <v>146</v>
      </c>
    </row>
    <row r="120" spans="1:7" s="39" customFormat="1" ht="24.75" customHeight="1" hidden="1">
      <c r="A120" s="50">
        <f>Estimate!A119</f>
        <v>15</v>
      </c>
      <c r="B120" s="50">
        <f>Estimate!B119</f>
      </c>
      <c r="C120" s="69">
        <f>Estimate!C119</f>
      </c>
      <c r="D120" s="69">
        <f>Estimate!D119</f>
      </c>
      <c r="E120" s="78">
        <f>Estimate!E119</f>
      </c>
      <c r="F120" s="74" t="s">
        <v>145</v>
      </c>
      <c r="G120" s="74" t="s">
        <v>146</v>
      </c>
    </row>
    <row r="121" spans="1:7" s="39" customFormat="1" ht="24.75" customHeight="1" hidden="1">
      <c r="A121" s="50">
        <f>Estimate!A120</f>
        <v>16</v>
      </c>
      <c r="B121" s="50">
        <f>Estimate!B120</f>
      </c>
      <c r="C121" s="69">
        <f>Estimate!C120</f>
      </c>
      <c r="D121" s="69">
        <f>Estimate!D120</f>
      </c>
      <c r="E121" s="78">
        <f>Estimate!E120</f>
      </c>
      <c r="F121" s="74" t="s">
        <v>145</v>
      </c>
      <c r="G121" s="74" t="s">
        <v>146</v>
      </c>
    </row>
    <row r="122" spans="1:7" s="39" customFormat="1" ht="24.75" customHeight="1">
      <c r="A122" s="50"/>
      <c r="B122" s="40"/>
      <c r="C122" s="40"/>
      <c r="D122" s="40"/>
      <c r="E122" s="77" t="s">
        <v>147</v>
      </c>
      <c r="F122" s="42"/>
      <c r="G122" s="157">
        <f>SUM(G106:G113)</f>
        <v>0</v>
      </c>
    </row>
    <row r="123" spans="1:7" s="39" customFormat="1" ht="12.75">
      <c r="A123" s="50"/>
      <c r="B123" s="40"/>
      <c r="C123" s="40"/>
      <c r="D123" s="40"/>
      <c r="E123" s="68"/>
      <c r="F123" s="42"/>
      <c r="G123" s="42"/>
    </row>
    <row r="124" spans="1:7" s="39" customFormat="1" ht="12.75">
      <c r="A124" s="50"/>
      <c r="B124" s="40"/>
      <c r="C124" s="40"/>
      <c r="D124" s="40"/>
      <c r="E124" s="68"/>
      <c r="F124" s="42"/>
      <c r="G124" s="42"/>
    </row>
    <row r="125" spans="1:7" ht="28.5" customHeight="1">
      <c r="A125" s="170" t="s">
        <v>35</v>
      </c>
      <c r="B125" s="170"/>
      <c r="C125" s="170"/>
      <c r="D125" s="170"/>
      <c r="E125" s="170"/>
      <c r="F125" s="170"/>
      <c r="G125" s="170"/>
    </row>
    <row r="126" spans="1:7" ht="12.75">
      <c r="A126" s="167"/>
      <c r="B126" s="160"/>
      <c r="C126" s="160"/>
      <c r="D126" s="160"/>
      <c r="E126" s="160"/>
      <c r="F126" s="160"/>
      <c r="G126" s="160"/>
    </row>
    <row r="127" spans="1:7" ht="12.75">
      <c r="A127" s="38" t="s">
        <v>32</v>
      </c>
      <c r="B127" s="171" t="s">
        <v>181</v>
      </c>
      <c r="C127" s="166"/>
      <c r="D127" s="166"/>
      <c r="E127" s="37"/>
      <c r="F127" s="37"/>
      <c r="G127" s="37"/>
    </row>
    <row r="128" spans="1:7" s="81" customFormat="1" ht="15.75">
      <c r="A128" s="79"/>
      <c r="B128" s="171" t="str">
        <f>B97</f>
        <v>HC Engineer 2022 Road Improvement Project</v>
      </c>
      <c r="C128" s="171"/>
      <c r="D128" s="171"/>
      <c r="E128" s="80"/>
      <c r="F128" s="172" t="str">
        <f>F97</f>
        <v>March 8th, 2022 at 9:30 AM</v>
      </c>
      <c r="G128" s="172"/>
    </row>
    <row r="129" spans="2:7" s="39" customFormat="1" ht="12.75">
      <c r="B129" s="38" t="s">
        <v>34</v>
      </c>
      <c r="C129" s="38"/>
      <c r="D129" s="38"/>
      <c r="E129" s="37"/>
      <c r="F129" s="37"/>
      <c r="G129" s="66"/>
    </row>
    <row r="130" spans="1:7" s="39" customFormat="1" ht="12.75">
      <c r="A130" s="40"/>
      <c r="B130" s="40"/>
      <c r="C130" s="40"/>
      <c r="D130" s="40"/>
      <c r="E130" s="41"/>
      <c r="F130" s="42"/>
      <c r="G130" s="42"/>
    </row>
    <row r="131" spans="1:7" s="39" customFormat="1" ht="12.75">
      <c r="A131" s="68" t="str">
        <f>Estimate!A130</f>
        <v>Road S b/ Road 10- Road 13</v>
      </c>
      <c r="B131" s="68"/>
      <c r="C131" s="68"/>
      <c r="D131" s="68"/>
      <c r="E131" s="68"/>
      <c r="F131" s="42"/>
      <c r="G131" s="42"/>
    </row>
    <row r="132" spans="1:7" s="39" customFormat="1" ht="12.75">
      <c r="A132" s="68" t="str">
        <f>Estimate!A131</f>
        <v>Length:  15930 Feet or 3.02 Mile(s)</v>
      </c>
      <c r="B132" s="67"/>
      <c r="C132" s="68"/>
      <c r="D132" s="70"/>
      <c r="E132" s="71"/>
      <c r="F132" s="42"/>
      <c r="G132" s="42"/>
    </row>
    <row r="133" spans="1:5" s="39" customFormat="1" ht="12.75">
      <c r="A133" s="68" t="str">
        <f>Estimate!A132</f>
        <v>Width:  18.5 Feet     (Approx. 32985 S.Y. including radius and driveway work)</v>
      </c>
      <c r="B133" s="40"/>
      <c r="C133" s="68"/>
      <c r="D133" s="72"/>
      <c r="E133" s="72"/>
    </row>
    <row r="134" spans="1:7" s="39" customFormat="1" ht="12.75">
      <c r="A134" s="68" t="str">
        <f>Estimate!A133</f>
        <v>Type: ODOT Spec 823 </v>
      </c>
      <c r="B134" s="68"/>
      <c r="C134" s="68"/>
      <c r="D134" s="68"/>
      <c r="E134" s="68"/>
      <c r="F134" s="68"/>
      <c r="G134" s="68"/>
    </row>
    <row r="136" spans="1:7" ht="12.75">
      <c r="A136" s="52" t="s">
        <v>1</v>
      </c>
      <c r="B136" s="52" t="s">
        <v>2</v>
      </c>
      <c r="C136" s="52" t="s">
        <v>36</v>
      </c>
      <c r="D136" s="52" t="s">
        <v>3</v>
      </c>
      <c r="E136" s="73" t="s">
        <v>4</v>
      </c>
      <c r="F136" s="54" t="s">
        <v>5</v>
      </c>
      <c r="G136" s="54" t="s">
        <v>6</v>
      </c>
    </row>
    <row r="137" spans="1:7" ht="24.75" customHeight="1">
      <c r="A137" s="50">
        <f>Estimate!A136</f>
        <v>1</v>
      </c>
      <c r="B137" s="50">
        <f>Estimate!B136</f>
        <v>407</v>
      </c>
      <c r="C137" s="69">
        <f>Estimate!C136</f>
        <v>1650</v>
      </c>
      <c r="D137" s="69" t="str">
        <f>Estimate!D136</f>
        <v>Gal</v>
      </c>
      <c r="E137" s="78" t="str">
        <f>Estimate!E136</f>
        <v>Bituminous Tack Coat applied at 0.05 gallons per square yard</v>
      </c>
      <c r="F137" s="156"/>
      <c r="G137" s="156">
        <f aca="true" t="shared" si="4" ref="G137:G142">F137*C137</f>
        <v>0</v>
      </c>
    </row>
    <row r="138" spans="1:7" ht="32.25" customHeight="1">
      <c r="A138" s="50">
        <f>A137+1</f>
        <v>2</v>
      </c>
      <c r="B138" s="50">
        <f>Estimate!B137</f>
        <v>823</v>
      </c>
      <c r="C138" s="69">
        <f>Estimate!C137</f>
        <v>1375</v>
      </c>
      <c r="D138" s="69" t="str">
        <f>Estimate!D137</f>
        <v>C.Y.</v>
      </c>
      <c r="E138" s="78" t="str">
        <f>Estimate!E137</f>
        <v>Asphalt concrete surface course PG 64-22, Type 1 (823) applied, spread and compacted at the average depth of 1.5 inches</v>
      </c>
      <c r="F138" s="156"/>
      <c r="G138" s="156">
        <f t="shared" si="4"/>
        <v>0</v>
      </c>
    </row>
    <row r="139" spans="1:7" ht="32.25" customHeight="1">
      <c r="A139" s="50">
        <f>Estimate!A138</f>
        <v>3</v>
      </c>
      <c r="B139" s="50">
        <f>Estimate!B138</f>
        <v>254</v>
      </c>
      <c r="C139" s="69">
        <f>Estimate!C138</f>
        <v>1010</v>
      </c>
      <c r="D139" s="69" t="str">
        <f>Estimate!D138</f>
        <v>S.Y.</v>
      </c>
      <c r="E139" s="78" t="str">
        <f>Estimate!E138</f>
        <v>Pavement Planing (20' length including radius)</v>
      </c>
      <c r="F139" s="156"/>
      <c r="G139" s="156">
        <f t="shared" si="4"/>
        <v>0</v>
      </c>
    </row>
    <row r="140" spans="1:7" ht="32.25" customHeight="1">
      <c r="A140" s="50">
        <f>Estimate!A139</f>
        <v>4</v>
      </c>
      <c r="B140" s="50">
        <f>Estimate!B139</f>
        <v>614</v>
      </c>
      <c r="C140" s="69">
        <f>Estimate!C139</f>
        <v>1</v>
      </c>
      <c r="D140" s="69" t="str">
        <f>Estimate!D139</f>
        <v>L.S.</v>
      </c>
      <c r="E140" s="78" t="str">
        <f>Estimate!E139</f>
        <v>Maintaining Traffic</v>
      </c>
      <c r="F140" s="156"/>
      <c r="G140" s="156">
        <f t="shared" si="4"/>
        <v>0</v>
      </c>
    </row>
    <row r="141" spans="1:7" ht="24.75" customHeight="1">
      <c r="A141" s="50">
        <f>Estimate!A140</f>
        <v>5</v>
      </c>
      <c r="B141" s="50">
        <f>Estimate!B140</f>
        <v>624</v>
      </c>
      <c r="C141" s="69">
        <f>Estimate!C140</f>
        <v>1</v>
      </c>
      <c r="D141" s="69" t="str">
        <f>Estimate!D140</f>
        <v>L.S.</v>
      </c>
      <c r="E141" s="78" t="str">
        <f>Estimate!E140</f>
        <v>Mobilization</v>
      </c>
      <c r="F141" s="156"/>
      <c r="G141" s="156">
        <f t="shared" si="4"/>
        <v>0</v>
      </c>
    </row>
    <row r="142" spans="1:7" ht="24.75" customHeight="1">
      <c r="A142" s="50">
        <f>Estimate!A141</f>
        <v>6</v>
      </c>
      <c r="B142" s="50">
        <f>Estimate!B141</f>
        <v>103.05</v>
      </c>
      <c r="C142" s="69">
        <f>Estimate!C141</f>
        <v>1</v>
      </c>
      <c r="D142" s="69" t="str">
        <f>Estimate!D141</f>
        <v>L.S.</v>
      </c>
      <c r="E142" s="78" t="str">
        <f>Estimate!E141</f>
        <v>Contract Performance &amp; Payment Bond</v>
      </c>
      <c r="F142" s="156"/>
      <c r="G142" s="156">
        <f t="shared" si="4"/>
        <v>0</v>
      </c>
    </row>
    <row r="143" spans="1:7" ht="24.75" customHeight="1" hidden="1">
      <c r="A143" s="50">
        <f>Estimate!A142</f>
        <v>7</v>
      </c>
      <c r="B143" s="50">
        <f>Estimate!B142</f>
      </c>
      <c r="C143" s="69">
        <f>Estimate!C142</f>
      </c>
      <c r="D143" s="69">
        <f>Estimate!D142</f>
      </c>
      <c r="E143" s="78">
        <f>Estimate!E142</f>
      </c>
      <c r="F143" s="74" t="s">
        <v>145</v>
      </c>
      <c r="G143" s="74" t="s">
        <v>146</v>
      </c>
    </row>
    <row r="144" spans="1:7" ht="24.75" customHeight="1" hidden="1">
      <c r="A144" s="50">
        <f>Estimate!A143</f>
        <v>8</v>
      </c>
      <c r="B144" s="50">
        <f>Estimate!B143</f>
      </c>
      <c r="C144" s="69">
        <f>Estimate!C143</f>
      </c>
      <c r="D144" s="69">
        <f>Estimate!D143</f>
      </c>
      <c r="E144" s="78">
        <f>Estimate!E143</f>
      </c>
      <c r="F144" s="74" t="s">
        <v>145</v>
      </c>
      <c r="G144" s="74" t="s">
        <v>146</v>
      </c>
    </row>
    <row r="145" spans="1:7" ht="24.75" customHeight="1" hidden="1">
      <c r="A145" s="50">
        <f>Estimate!A144</f>
        <v>9</v>
      </c>
      <c r="B145" s="50">
        <f>Estimate!B144</f>
      </c>
      <c r="C145" s="69">
        <f>Estimate!C144</f>
      </c>
      <c r="D145" s="69">
        <f>Estimate!D144</f>
      </c>
      <c r="E145" s="78">
        <f>Estimate!E144</f>
      </c>
      <c r="F145" s="74" t="s">
        <v>145</v>
      </c>
      <c r="G145" s="74" t="s">
        <v>146</v>
      </c>
    </row>
    <row r="146" spans="1:7" ht="24.75" customHeight="1" hidden="1">
      <c r="A146" s="50">
        <f>Estimate!A145</f>
        <v>10</v>
      </c>
      <c r="B146" s="50">
        <f>Estimate!B145</f>
      </c>
      <c r="C146" s="69">
        <f>Estimate!C145</f>
      </c>
      <c r="D146" s="69">
        <f>Estimate!D145</f>
      </c>
      <c r="E146" s="78">
        <f>Estimate!E145</f>
      </c>
      <c r="F146" s="74" t="s">
        <v>145</v>
      </c>
      <c r="G146" s="74" t="s">
        <v>146</v>
      </c>
    </row>
    <row r="147" spans="1:7" ht="24.75" customHeight="1" hidden="1">
      <c r="A147" s="50">
        <f>Estimate!A146</f>
        <v>11</v>
      </c>
      <c r="B147" s="50">
        <f>Estimate!B146</f>
      </c>
      <c r="C147" s="69">
        <f>Estimate!C146</f>
      </c>
      <c r="D147" s="69">
        <f>Estimate!D146</f>
      </c>
      <c r="E147" s="78">
        <f>Estimate!E146</f>
      </c>
      <c r="F147" s="74" t="s">
        <v>145</v>
      </c>
      <c r="G147" s="74" t="s">
        <v>146</v>
      </c>
    </row>
    <row r="148" spans="1:7" s="39" customFormat="1" ht="24.75" customHeight="1" hidden="1">
      <c r="A148" s="50">
        <f>Estimate!A147</f>
        <v>12</v>
      </c>
      <c r="B148" s="50">
        <f>Estimate!B147</f>
      </c>
      <c r="C148" s="69">
        <f>Estimate!C147</f>
      </c>
      <c r="D148" s="69">
        <f>Estimate!D147</f>
      </c>
      <c r="E148" s="78">
        <f>Estimate!E147</f>
      </c>
      <c r="F148" s="74" t="s">
        <v>145</v>
      </c>
      <c r="G148" s="74" t="s">
        <v>146</v>
      </c>
    </row>
    <row r="149" spans="1:7" s="39" customFormat="1" ht="24.75" customHeight="1" hidden="1">
      <c r="A149" s="50">
        <f>Estimate!A148</f>
        <v>13</v>
      </c>
      <c r="B149" s="50">
        <f>Estimate!B148</f>
      </c>
      <c r="C149" s="69">
        <f>Estimate!C148</f>
      </c>
      <c r="D149" s="69">
        <f>Estimate!D148</f>
      </c>
      <c r="E149" s="78">
        <f>Estimate!E148</f>
      </c>
      <c r="F149" s="74" t="s">
        <v>145</v>
      </c>
      <c r="G149" s="74" t="s">
        <v>146</v>
      </c>
    </row>
    <row r="150" spans="1:7" s="39" customFormat="1" ht="24.75" customHeight="1" hidden="1">
      <c r="A150" s="50">
        <f>Estimate!A149</f>
        <v>14</v>
      </c>
      <c r="B150" s="50">
        <f>Estimate!B149</f>
      </c>
      <c r="C150" s="69">
        <f>Estimate!C149</f>
      </c>
      <c r="D150" s="69">
        <f>Estimate!D149</f>
      </c>
      <c r="E150" s="78">
        <f>Estimate!E149</f>
      </c>
      <c r="F150" s="74" t="s">
        <v>145</v>
      </c>
      <c r="G150" s="74" t="s">
        <v>146</v>
      </c>
    </row>
    <row r="151" spans="1:7" s="39" customFormat="1" ht="24.75" customHeight="1" hidden="1">
      <c r="A151" s="50">
        <f>Estimate!A150</f>
        <v>15</v>
      </c>
      <c r="B151" s="50">
        <f>Estimate!B150</f>
      </c>
      <c r="C151" s="69">
        <f>Estimate!C150</f>
      </c>
      <c r="D151" s="69">
        <f>Estimate!D150</f>
      </c>
      <c r="E151" s="78">
        <f>Estimate!E150</f>
      </c>
      <c r="F151" s="74" t="s">
        <v>145</v>
      </c>
      <c r="G151" s="74" t="s">
        <v>146</v>
      </c>
    </row>
    <row r="152" spans="1:7" s="39" customFormat="1" ht="24.75" customHeight="1" hidden="1">
      <c r="A152" s="50">
        <f>Estimate!A151</f>
        <v>16</v>
      </c>
      <c r="B152" s="50">
        <f>Estimate!B151</f>
      </c>
      <c r="C152" s="69">
        <f>Estimate!C151</f>
      </c>
      <c r="D152" s="69">
        <f>Estimate!D151</f>
      </c>
      <c r="E152" s="78">
        <f>Estimate!E151</f>
      </c>
      <c r="F152" s="74" t="s">
        <v>145</v>
      </c>
      <c r="G152" s="74" t="s">
        <v>146</v>
      </c>
    </row>
    <row r="153" spans="1:7" s="39" customFormat="1" ht="24.75" customHeight="1">
      <c r="A153" s="50"/>
      <c r="B153" s="40"/>
      <c r="C153" s="40"/>
      <c r="D153" s="40"/>
      <c r="E153" s="77" t="s">
        <v>147</v>
      </c>
      <c r="F153" s="42"/>
      <c r="G153" s="157">
        <f>SUM(G137:G142)</f>
        <v>0</v>
      </c>
    </row>
    <row r="154" spans="1:7" s="39" customFormat="1" ht="12.75">
      <c r="A154" s="50"/>
      <c r="B154" s="40"/>
      <c r="C154" s="40"/>
      <c r="D154" s="40"/>
      <c r="E154" s="68"/>
      <c r="F154" s="42"/>
      <c r="G154" s="42"/>
    </row>
    <row r="155" spans="1:7" s="39" customFormat="1" ht="12.75">
      <c r="A155" s="50"/>
      <c r="B155" s="40"/>
      <c r="C155" s="40"/>
      <c r="D155" s="40"/>
      <c r="E155" s="68"/>
      <c r="F155" s="42"/>
      <c r="G155" s="42"/>
    </row>
    <row r="156" spans="1:7" ht="28.5" customHeight="1">
      <c r="A156" s="170" t="s">
        <v>35</v>
      </c>
      <c r="B156" s="170"/>
      <c r="C156" s="170"/>
      <c r="D156" s="170"/>
      <c r="E156" s="170"/>
      <c r="F156" s="170"/>
      <c r="G156" s="170"/>
    </row>
    <row r="157" spans="1:7" ht="12.75">
      <c r="A157" s="167"/>
      <c r="B157" s="160"/>
      <c r="C157" s="160"/>
      <c r="D157" s="160"/>
      <c r="E157" s="160"/>
      <c r="F157" s="160"/>
      <c r="G157" s="160"/>
    </row>
    <row r="158" spans="1:7" ht="12.75">
      <c r="A158" s="38" t="s">
        <v>32</v>
      </c>
      <c r="B158" s="171" t="s">
        <v>181</v>
      </c>
      <c r="C158" s="166"/>
      <c r="D158" s="166"/>
      <c r="E158" s="37"/>
      <c r="F158" s="37"/>
      <c r="G158" s="37"/>
    </row>
    <row r="159" spans="1:7" s="81" customFormat="1" ht="15.75">
      <c r="A159" s="79"/>
      <c r="B159" s="171" t="str">
        <f>B128</f>
        <v>HC Engineer 2022 Road Improvement Project</v>
      </c>
      <c r="C159" s="171"/>
      <c r="D159" s="171"/>
      <c r="E159" s="80"/>
      <c r="F159" s="172" t="str">
        <f>F128</f>
        <v>March 8th, 2022 at 9:30 AM</v>
      </c>
      <c r="G159" s="172"/>
    </row>
    <row r="160" spans="2:7" s="39" customFormat="1" ht="12.75">
      <c r="B160" s="38" t="s">
        <v>34</v>
      </c>
      <c r="C160" s="38"/>
      <c r="D160" s="38"/>
      <c r="E160" s="37"/>
      <c r="F160" s="37"/>
      <c r="G160" s="66"/>
    </row>
    <row r="161" spans="1:7" s="39" customFormat="1" ht="12.75">
      <c r="A161" s="40"/>
      <c r="B161" s="40"/>
      <c r="C161" s="40"/>
      <c r="D161" s="40"/>
      <c r="E161" s="41"/>
      <c r="F161" s="42"/>
      <c r="G161" s="42"/>
    </row>
    <row r="162" spans="1:7" s="39" customFormat="1" ht="12.75">
      <c r="A162" s="68" t="str">
        <f>Estimate!A161</f>
        <v>Road 18 b/ SR 18- Road F</v>
      </c>
      <c r="B162" s="68"/>
      <c r="C162" s="68"/>
      <c r="D162" s="68"/>
      <c r="E162" s="68"/>
      <c r="F162" s="42"/>
      <c r="G162" s="42"/>
    </row>
    <row r="163" spans="1:7" s="39" customFormat="1" ht="12.75">
      <c r="A163" s="68" t="str">
        <f>Estimate!A162</f>
        <v>Length:  5325 Feet or 1.01 Mile(s)</v>
      </c>
      <c r="B163" s="67"/>
      <c r="C163" s="68"/>
      <c r="D163" s="70"/>
      <c r="E163" s="71"/>
      <c r="F163" s="42"/>
      <c r="G163" s="42"/>
    </row>
    <row r="164" spans="1:5" s="39" customFormat="1" ht="12.75">
      <c r="A164" s="68" t="str">
        <f>Estimate!A163</f>
        <v>Width:  13 Feet     (Approx. 7750 S.Y. including radius and driveway work)</v>
      </c>
      <c r="B164" s="40"/>
      <c r="C164" s="68"/>
      <c r="D164" s="72"/>
      <c r="E164" s="72"/>
    </row>
    <row r="165" spans="1:7" s="39" customFormat="1" ht="12.75">
      <c r="A165" s="68" t="str">
        <f>Estimate!A164</f>
        <v>Type: ODOT Spec 823 </v>
      </c>
      <c r="B165" s="68"/>
      <c r="C165" s="68"/>
      <c r="D165" s="68"/>
      <c r="E165" s="68"/>
      <c r="F165" s="68"/>
      <c r="G165" s="68"/>
    </row>
    <row r="167" spans="1:7" ht="12.75">
      <c r="A167" s="52" t="s">
        <v>1</v>
      </c>
      <c r="B167" s="52" t="s">
        <v>2</v>
      </c>
      <c r="C167" s="52" t="s">
        <v>36</v>
      </c>
      <c r="D167" s="52" t="s">
        <v>3</v>
      </c>
      <c r="E167" s="73" t="s">
        <v>4</v>
      </c>
      <c r="F167" s="54" t="s">
        <v>5</v>
      </c>
      <c r="G167" s="54" t="s">
        <v>6</v>
      </c>
    </row>
    <row r="168" spans="1:7" ht="24.75" customHeight="1">
      <c r="A168" s="50">
        <f>Estimate!A167</f>
        <v>1</v>
      </c>
      <c r="B168" s="50">
        <f>Estimate!B167</f>
        <v>407</v>
      </c>
      <c r="C168" s="69">
        <f>Estimate!C167</f>
        <v>780</v>
      </c>
      <c r="D168" s="69" t="str">
        <f>Estimate!D167</f>
        <v>Gal</v>
      </c>
      <c r="E168" s="78" t="str">
        <f>Estimate!E167</f>
        <v>Bituminous Tack Coat applied at 0.05 gallons per square yard</v>
      </c>
      <c r="F168" s="156"/>
      <c r="G168" s="156">
        <f>F168*C168</f>
        <v>0</v>
      </c>
    </row>
    <row r="169" spans="1:7" ht="32.25" customHeight="1">
      <c r="A169" s="50">
        <f>A168+1</f>
        <v>2</v>
      </c>
      <c r="B169" s="50">
        <f>Estimate!B168</f>
        <v>823</v>
      </c>
      <c r="C169" s="69">
        <f>Estimate!C168</f>
        <v>162</v>
      </c>
      <c r="D169" s="69" t="str">
        <f>Estimate!D168</f>
        <v>C.Y.</v>
      </c>
      <c r="E169" s="78" t="str">
        <f>Estimate!E168</f>
        <v>Asphalt intermediate course PG 64-22, Type 1 (823) applied, spread and compacted at the average depth of 0.75 inches</v>
      </c>
      <c r="F169" s="156"/>
      <c r="G169" s="156">
        <f aca="true" t="shared" si="5" ref="G169:G174">F169*C169</f>
        <v>0</v>
      </c>
    </row>
    <row r="170" spans="1:7" ht="32.25" customHeight="1">
      <c r="A170" s="50">
        <f>Estimate!A169</f>
        <v>3</v>
      </c>
      <c r="B170" s="50">
        <f>Estimate!B169</f>
        <v>823</v>
      </c>
      <c r="C170" s="69">
        <f>Estimate!C169</f>
        <v>270</v>
      </c>
      <c r="D170" s="69" t="str">
        <f>Estimate!D169</f>
        <v>C.Y.</v>
      </c>
      <c r="E170" s="78" t="str">
        <f>Estimate!E169</f>
        <v>Asphalt concrete surface course PG 64-22, Type 1 (823) applied, spread and compacted at the average depth of 1.25 inches</v>
      </c>
      <c r="F170" s="156"/>
      <c r="G170" s="156">
        <f t="shared" si="5"/>
        <v>0</v>
      </c>
    </row>
    <row r="171" spans="1:7" ht="32.25" customHeight="1">
      <c r="A171" s="50">
        <f>Estimate!A170</f>
        <v>4</v>
      </c>
      <c r="B171" s="50">
        <f>Estimate!B170</f>
        <v>254</v>
      </c>
      <c r="C171" s="69">
        <f>Estimate!C170</f>
        <v>120</v>
      </c>
      <c r="D171" s="69" t="str">
        <f>Estimate!D170</f>
        <v>S.Y.</v>
      </c>
      <c r="E171" s="78" t="str">
        <f>Estimate!E170</f>
        <v>Pavement Planing (20' length including radius)</v>
      </c>
      <c r="F171" s="156"/>
      <c r="G171" s="156">
        <f t="shared" si="5"/>
        <v>0</v>
      </c>
    </row>
    <row r="172" spans="1:7" ht="24.75" customHeight="1">
      <c r="A172" s="50">
        <f>Estimate!A171</f>
        <v>5</v>
      </c>
      <c r="B172" s="50">
        <f>Estimate!B171</f>
        <v>614</v>
      </c>
      <c r="C172" s="69">
        <f>Estimate!C171</f>
        <v>1</v>
      </c>
      <c r="D172" s="69" t="str">
        <f>Estimate!D171</f>
        <v>L.S.</v>
      </c>
      <c r="E172" s="78" t="str">
        <f>Estimate!E171</f>
        <v>Maintaining Traffic</v>
      </c>
      <c r="F172" s="156"/>
      <c r="G172" s="156">
        <f t="shared" si="5"/>
        <v>0</v>
      </c>
    </row>
    <row r="173" spans="1:7" ht="24.75" customHeight="1">
      <c r="A173" s="50">
        <f>Estimate!A172</f>
        <v>6</v>
      </c>
      <c r="B173" s="50">
        <f>Estimate!B172</f>
        <v>624</v>
      </c>
      <c r="C173" s="69">
        <f>Estimate!C172</f>
        <v>1</v>
      </c>
      <c r="D173" s="69" t="str">
        <f>Estimate!D172</f>
        <v>L.S.</v>
      </c>
      <c r="E173" s="78" t="str">
        <f>Estimate!E172</f>
        <v>Mobilization</v>
      </c>
      <c r="F173" s="156"/>
      <c r="G173" s="156">
        <f t="shared" si="5"/>
        <v>0</v>
      </c>
    </row>
    <row r="174" spans="1:7" ht="24.75" customHeight="1">
      <c r="A174" s="50">
        <f>Estimate!A173</f>
        <v>7</v>
      </c>
      <c r="B174" s="50">
        <f>Estimate!B173</f>
        <v>103.05</v>
      </c>
      <c r="C174" s="69">
        <f>Estimate!C173</f>
        <v>1</v>
      </c>
      <c r="D174" s="69" t="str">
        <f>Estimate!D173</f>
        <v>L.S.</v>
      </c>
      <c r="E174" s="78" t="str">
        <f>Estimate!E173</f>
        <v>Contract Performance &amp; Payment Bond</v>
      </c>
      <c r="F174" s="156"/>
      <c r="G174" s="156">
        <f t="shared" si="5"/>
        <v>0</v>
      </c>
    </row>
    <row r="175" spans="1:7" ht="24.75" customHeight="1" hidden="1">
      <c r="A175" s="50">
        <f>Estimate!A174</f>
        <v>8</v>
      </c>
      <c r="B175" s="50">
        <f>Estimate!B174</f>
      </c>
      <c r="C175" s="69">
        <f>Estimate!C174</f>
      </c>
      <c r="D175" s="69">
        <f>Estimate!D174</f>
      </c>
      <c r="E175" s="78">
        <f>Estimate!E174</f>
      </c>
      <c r="F175" s="74" t="s">
        <v>145</v>
      </c>
      <c r="G175" s="74" t="s">
        <v>146</v>
      </c>
    </row>
    <row r="176" spans="1:7" ht="24.75" customHeight="1" hidden="1">
      <c r="A176" s="50">
        <f>Estimate!A175</f>
        <v>9</v>
      </c>
      <c r="B176" s="50">
        <f>Estimate!B175</f>
      </c>
      <c r="C176" s="69">
        <f>Estimate!C175</f>
      </c>
      <c r="D176" s="69">
        <f>Estimate!D175</f>
      </c>
      <c r="E176" s="78">
        <f>Estimate!E175</f>
      </c>
      <c r="F176" s="74" t="s">
        <v>145</v>
      </c>
      <c r="G176" s="74" t="s">
        <v>146</v>
      </c>
    </row>
    <row r="177" spans="1:7" ht="24.75" customHeight="1" hidden="1">
      <c r="A177" s="50">
        <f>Estimate!A176</f>
        <v>10</v>
      </c>
      <c r="B177" s="50">
        <f>Estimate!B176</f>
      </c>
      <c r="C177" s="69">
        <f>Estimate!C176</f>
      </c>
      <c r="D177" s="69">
        <f>Estimate!D176</f>
      </c>
      <c r="E177" s="78">
        <f>Estimate!E176</f>
      </c>
      <c r="F177" s="74" t="s">
        <v>145</v>
      </c>
      <c r="G177" s="74" t="s">
        <v>146</v>
      </c>
    </row>
    <row r="178" spans="1:7" ht="24.75" customHeight="1" hidden="1">
      <c r="A178" s="50">
        <f>Estimate!A177</f>
        <v>11</v>
      </c>
      <c r="B178" s="50">
        <f>Estimate!B177</f>
      </c>
      <c r="C178" s="69">
        <f>Estimate!C177</f>
      </c>
      <c r="D178" s="69">
        <f>Estimate!D177</f>
      </c>
      <c r="E178" s="78">
        <f>Estimate!E177</f>
      </c>
      <c r="F178" s="74" t="s">
        <v>145</v>
      </c>
      <c r="G178" s="74" t="s">
        <v>146</v>
      </c>
    </row>
    <row r="179" spans="1:7" s="39" customFormat="1" ht="24.75" customHeight="1" hidden="1">
      <c r="A179" s="50">
        <f>Estimate!A178</f>
        <v>12</v>
      </c>
      <c r="B179" s="50">
        <f>Estimate!B178</f>
      </c>
      <c r="C179" s="69">
        <f>Estimate!C178</f>
      </c>
      <c r="D179" s="69">
        <f>Estimate!D178</f>
      </c>
      <c r="E179" s="78">
        <f>Estimate!E178</f>
      </c>
      <c r="F179" s="74" t="s">
        <v>145</v>
      </c>
      <c r="G179" s="74" t="s">
        <v>146</v>
      </c>
    </row>
    <row r="180" spans="1:7" s="39" customFormat="1" ht="24.75" customHeight="1" hidden="1">
      <c r="A180" s="50">
        <f>Estimate!A179</f>
        <v>13</v>
      </c>
      <c r="B180" s="50">
        <f>Estimate!B179</f>
      </c>
      <c r="C180" s="69">
        <f>Estimate!C179</f>
      </c>
      <c r="D180" s="69">
        <f>Estimate!D179</f>
      </c>
      <c r="E180" s="78">
        <f>Estimate!E179</f>
      </c>
      <c r="F180" s="74" t="s">
        <v>145</v>
      </c>
      <c r="G180" s="74" t="s">
        <v>146</v>
      </c>
    </row>
    <row r="181" spans="1:7" s="39" customFormat="1" ht="24.75" customHeight="1" hidden="1">
      <c r="A181" s="50">
        <f>Estimate!A180</f>
        <v>14</v>
      </c>
      <c r="B181" s="50">
        <f>Estimate!B180</f>
      </c>
      <c r="C181" s="69">
        <f>Estimate!C180</f>
      </c>
      <c r="D181" s="69">
        <f>Estimate!D180</f>
      </c>
      <c r="E181" s="78">
        <f>Estimate!E180</f>
      </c>
      <c r="F181" s="74" t="s">
        <v>145</v>
      </c>
      <c r="G181" s="74" t="s">
        <v>146</v>
      </c>
    </row>
    <row r="182" spans="1:7" s="39" customFormat="1" ht="24.75" customHeight="1" hidden="1">
      <c r="A182" s="50">
        <f>Estimate!A181</f>
        <v>15</v>
      </c>
      <c r="B182" s="50">
        <f>Estimate!B181</f>
      </c>
      <c r="C182" s="69">
        <f>Estimate!C181</f>
      </c>
      <c r="D182" s="69">
        <f>Estimate!D181</f>
      </c>
      <c r="E182" s="78">
        <f>Estimate!E181</f>
      </c>
      <c r="F182" s="74" t="s">
        <v>145</v>
      </c>
      <c r="G182" s="74" t="s">
        <v>146</v>
      </c>
    </row>
    <row r="183" spans="1:7" s="39" customFormat="1" ht="24.75" customHeight="1" hidden="1">
      <c r="A183" s="50">
        <f>Estimate!A182</f>
        <v>16</v>
      </c>
      <c r="B183" s="50">
        <f>Estimate!B182</f>
      </c>
      <c r="C183" s="69">
        <f>Estimate!C182</f>
      </c>
      <c r="D183" s="69">
        <f>Estimate!D182</f>
      </c>
      <c r="E183" s="78">
        <f>Estimate!E182</f>
      </c>
      <c r="F183" s="74" t="s">
        <v>145</v>
      </c>
      <c r="G183" s="74" t="s">
        <v>146</v>
      </c>
    </row>
    <row r="184" spans="1:7" s="39" customFormat="1" ht="24.75" customHeight="1">
      <c r="A184" s="50"/>
      <c r="B184" s="40"/>
      <c r="C184" s="40"/>
      <c r="D184" s="40"/>
      <c r="E184" s="77" t="s">
        <v>147</v>
      </c>
      <c r="F184" s="42"/>
      <c r="G184" s="157">
        <f>SUM(G168:G174)</f>
        <v>0</v>
      </c>
    </row>
    <row r="185" spans="1:7" s="39" customFormat="1" ht="12.75">
      <c r="A185" s="50"/>
      <c r="B185" s="40"/>
      <c r="C185" s="40"/>
      <c r="D185" s="40"/>
      <c r="E185" s="68"/>
      <c r="F185" s="42"/>
      <c r="G185" s="42"/>
    </row>
    <row r="186" spans="1:7" s="39" customFormat="1" ht="12.75">
      <c r="A186" s="50"/>
      <c r="B186" s="40"/>
      <c r="C186" s="40"/>
      <c r="D186" s="40"/>
      <c r="E186" s="68"/>
      <c r="F186" s="42"/>
      <c r="G186" s="42"/>
    </row>
    <row r="187" spans="1:7" ht="28.5" customHeight="1">
      <c r="A187" s="170" t="s">
        <v>35</v>
      </c>
      <c r="B187" s="170"/>
      <c r="C187" s="170"/>
      <c r="D187" s="170"/>
      <c r="E187" s="170"/>
      <c r="F187" s="170"/>
      <c r="G187" s="170"/>
    </row>
    <row r="188" spans="1:7" ht="12.75">
      <c r="A188" s="167"/>
      <c r="B188" s="160"/>
      <c r="C188" s="160"/>
      <c r="D188" s="160"/>
      <c r="E188" s="160"/>
      <c r="F188" s="160"/>
      <c r="G188" s="160"/>
    </row>
    <row r="189" spans="1:7" ht="12.75">
      <c r="A189" s="38" t="s">
        <v>32</v>
      </c>
      <c r="B189" s="171" t="s">
        <v>181</v>
      </c>
      <c r="C189" s="166"/>
      <c r="D189" s="166"/>
      <c r="E189" s="37"/>
      <c r="F189" s="37"/>
      <c r="G189" s="37"/>
    </row>
    <row r="190" spans="1:7" s="81" customFormat="1" ht="15.75">
      <c r="A190" s="79"/>
      <c r="B190" s="171" t="str">
        <f>B159</f>
        <v>HC Engineer 2022 Road Improvement Project</v>
      </c>
      <c r="C190" s="171"/>
      <c r="D190" s="171"/>
      <c r="E190" s="80"/>
      <c r="F190" s="172" t="str">
        <f>F159</f>
        <v>March 8th, 2022 at 9:30 AM</v>
      </c>
      <c r="G190" s="172"/>
    </row>
    <row r="191" spans="2:7" s="39" customFormat="1" ht="12.75">
      <c r="B191" s="38" t="s">
        <v>34</v>
      </c>
      <c r="C191" s="38"/>
      <c r="D191" s="38"/>
      <c r="E191" s="37"/>
      <c r="F191" s="37"/>
      <c r="G191" s="66"/>
    </row>
    <row r="192" spans="1:7" s="39" customFormat="1" ht="12.75">
      <c r="A192" s="40"/>
      <c r="B192" s="40"/>
      <c r="C192" s="40"/>
      <c r="D192" s="40"/>
      <c r="E192" s="41"/>
      <c r="F192" s="42"/>
      <c r="G192" s="42"/>
    </row>
    <row r="193" spans="1:7" s="39" customFormat="1" ht="12.75">
      <c r="A193" s="68" t="str">
        <f>Estimate!A192</f>
        <v>Road 12 b/ Road K- Road O (Old US 6)</v>
      </c>
      <c r="B193" s="68"/>
      <c r="C193" s="68"/>
      <c r="D193" s="68"/>
      <c r="E193" s="68"/>
      <c r="F193" s="42"/>
      <c r="G193" s="42"/>
    </row>
    <row r="194" spans="1:7" s="39" customFormat="1" ht="12.75">
      <c r="A194" s="68" t="str">
        <f>Estimate!A193</f>
        <v>Length:  21630 Feet or 4.1 Mile(s)</v>
      </c>
      <c r="B194" s="67"/>
      <c r="C194" s="68"/>
      <c r="D194" s="70"/>
      <c r="E194" s="71"/>
      <c r="F194" s="42"/>
      <c r="G194" s="42"/>
    </row>
    <row r="195" spans="1:5" s="39" customFormat="1" ht="12.75">
      <c r="A195" s="68" t="str">
        <f>Estimate!A194</f>
        <v>Width:  18.75 Feet     (Approx. 45565 S.Y. including radius and driveway work)</v>
      </c>
      <c r="B195" s="40"/>
      <c r="C195" s="68"/>
      <c r="D195" s="72"/>
      <c r="E195" s="72"/>
    </row>
    <row r="196" spans="1:7" s="39" customFormat="1" ht="12.75">
      <c r="A196" s="68" t="str">
        <f>Estimate!A195</f>
        <v>Type: ODOT Spec 823 </v>
      </c>
      <c r="B196" s="68"/>
      <c r="C196" s="68"/>
      <c r="D196" s="68"/>
      <c r="E196" s="68"/>
      <c r="F196" s="68"/>
      <c r="G196" s="68"/>
    </row>
    <row r="198" spans="1:7" ht="12.75">
      <c r="A198" s="52" t="s">
        <v>1</v>
      </c>
      <c r="B198" s="52" t="s">
        <v>2</v>
      </c>
      <c r="C198" s="52" t="s">
        <v>36</v>
      </c>
      <c r="D198" s="52" t="s">
        <v>3</v>
      </c>
      <c r="E198" s="73" t="s">
        <v>4</v>
      </c>
      <c r="F198" s="54" t="s">
        <v>5</v>
      </c>
      <c r="G198" s="54" t="s">
        <v>6</v>
      </c>
    </row>
    <row r="199" spans="1:7" ht="24.75" customHeight="1">
      <c r="A199" s="50">
        <f>Estimate!A198</f>
        <v>1</v>
      </c>
      <c r="B199" s="50">
        <f>Estimate!B198</f>
        <v>407</v>
      </c>
      <c r="C199" s="69">
        <f>Estimate!C198</f>
        <v>2280</v>
      </c>
      <c r="D199" s="69" t="str">
        <f>Estimate!D198</f>
        <v>Gal</v>
      </c>
      <c r="E199" s="78" t="str">
        <f>Estimate!E198</f>
        <v>Bituminous Tack Coat applied at 0.05 gallons per square yard</v>
      </c>
      <c r="F199" s="156"/>
      <c r="G199" s="156">
        <f aca="true" t="shared" si="6" ref="G199:G204">F199*C199</f>
        <v>0</v>
      </c>
    </row>
    <row r="200" spans="1:7" ht="32.25" customHeight="1">
      <c r="A200" s="50">
        <f>A199+1</f>
        <v>2</v>
      </c>
      <c r="B200" s="50">
        <f>Estimate!B199</f>
        <v>823</v>
      </c>
      <c r="C200" s="69">
        <f>Estimate!C199</f>
        <v>1899</v>
      </c>
      <c r="D200" s="69" t="str">
        <f>Estimate!D199</f>
        <v>C.Y.</v>
      </c>
      <c r="E200" s="78" t="str">
        <f>Estimate!E199</f>
        <v>Asphalt concrete surface course PG 64-22, Type 1 (823) applied, spread and compacted at the average depth of 1.5 inches</v>
      </c>
      <c r="F200" s="156"/>
      <c r="G200" s="156">
        <f t="shared" si="6"/>
        <v>0</v>
      </c>
    </row>
    <row r="201" spans="1:7" ht="32.25" customHeight="1">
      <c r="A201" s="50">
        <f>Estimate!A200</f>
        <v>3</v>
      </c>
      <c r="B201" s="50">
        <f>Estimate!B200</f>
        <v>254</v>
      </c>
      <c r="C201" s="69">
        <f>Estimate!C200</f>
        <v>550</v>
      </c>
      <c r="D201" s="69" t="str">
        <f>Estimate!D200</f>
        <v>S.Y.</v>
      </c>
      <c r="E201" s="78" t="str">
        <f>Estimate!E200</f>
        <v>Pavement Planing (20' length including radius)</v>
      </c>
      <c r="F201" s="156"/>
      <c r="G201" s="156">
        <f t="shared" si="6"/>
        <v>0</v>
      </c>
    </row>
    <row r="202" spans="1:7" ht="32.25" customHeight="1">
      <c r="A202" s="50">
        <f>Estimate!A201</f>
        <v>4</v>
      </c>
      <c r="B202" s="50">
        <f>Estimate!B201</f>
        <v>614</v>
      </c>
      <c r="C202" s="69">
        <f>Estimate!C201</f>
        <v>1</v>
      </c>
      <c r="D202" s="69" t="str">
        <f>Estimate!D201</f>
        <v>L.S.</v>
      </c>
      <c r="E202" s="78" t="str">
        <f>Estimate!E201</f>
        <v>Maintaining Traffic</v>
      </c>
      <c r="F202" s="156"/>
      <c r="G202" s="156">
        <f t="shared" si="6"/>
        <v>0</v>
      </c>
    </row>
    <row r="203" spans="1:7" ht="24.75" customHeight="1">
      <c r="A203" s="50">
        <f>Estimate!A202</f>
        <v>5</v>
      </c>
      <c r="B203" s="50">
        <f>Estimate!B202</f>
        <v>624</v>
      </c>
      <c r="C203" s="69">
        <f>Estimate!C202</f>
        <v>1</v>
      </c>
      <c r="D203" s="69" t="str">
        <f>Estimate!D202</f>
        <v>L.S.</v>
      </c>
      <c r="E203" s="78" t="str">
        <f>Estimate!E202</f>
        <v>Mobilization</v>
      </c>
      <c r="F203" s="156"/>
      <c r="G203" s="156">
        <f t="shared" si="6"/>
        <v>0</v>
      </c>
    </row>
    <row r="204" spans="1:7" ht="24.75" customHeight="1">
      <c r="A204" s="50">
        <f>Estimate!A203</f>
        <v>6</v>
      </c>
      <c r="B204" s="50">
        <f>Estimate!B203</f>
        <v>103.05</v>
      </c>
      <c r="C204" s="69">
        <f>Estimate!C203</f>
        <v>1</v>
      </c>
      <c r="D204" s="69" t="str">
        <f>Estimate!D203</f>
        <v>L.S.</v>
      </c>
      <c r="E204" s="78" t="str">
        <f>Estimate!E203</f>
        <v>Contract Performance &amp; Payment Bond</v>
      </c>
      <c r="F204" s="156"/>
      <c r="G204" s="156">
        <f t="shared" si="6"/>
        <v>0</v>
      </c>
    </row>
    <row r="205" spans="1:7" ht="24.75" customHeight="1" hidden="1">
      <c r="A205" s="50">
        <f>Estimate!A204</f>
        <v>7</v>
      </c>
      <c r="B205" s="50">
        <f>Estimate!B204</f>
      </c>
      <c r="C205" s="69">
        <f>Estimate!C204</f>
      </c>
      <c r="D205" s="69">
        <f>Estimate!D204</f>
      </c>
      <c r="E205" s="78">
        <f>Estimate!E204</f>
      </c>
      <c r="F205" s="74" t="s">
        <v>145</v>
      </c>
      <c r="G205" s="74" t="s">
        <v>146</v>
      </c>
    </row>
    <row r="206" spans="1:7" ht="24.75" customHeight="1" hidden="1">
      <c r="A206" s="50">
        <f>Estimate!A205</f>
        <v>8</v>
      </c>
      <c r="B206" s="50">
        <f>Estimate!B205</f>
      </c>
      <c r="C206" s="69">
        <f>Estimate!C205</f>
      </c>
      <c r="D206" s="69">
        <f>Estimate!D205</f>
      </c>
      <c r="E206" s="78">
        <f>Estimate!E205</f>
      </c>
      <c r="F206" s="74" t="s">
        <v>145</v>
      </c>
      <c r="G206" s="74" t="s">
        <v>146</v>
      </c>
    </row>
    <row r="207" spans="1:7" ht="24.75" customHeight="1" hidden="1">
      <c r="A207" s="50">
        <f>Estimate!A206</f>
        <v>9</v>
      </c>
      <c r="B207" s="50">
        <f>Estimate!B206</f>
      </c>
      <c r="C207" s="69">
        <f>Estimate!C206</f>
      </c>
      <c r="D207" s="69">
        <f>Estimate!D206</f>
      </c>
      <c r="E207" s="78">
        <f>Estimate!E206</f>
      </c>
      <c r="F207" s="74" t="s">
        <v>145</v>
      </c>
      <c r="G207" s="74" t="s">
        <v>146</v>
      </c>
    </row>
    <row r="208" spans="1:7" ht="24.75" customHeight="1" hidden="1">
      <c r="A208" s="50">
        <f>Estimate!A207</f>
        <v>10</v>
      </c>
      <c r="B208" s="50">
        <f>Estimate!B207</f>
      </c>
      <c r="C208" s="69">
        <f>Estimate!C207</f>
      </c>
      <c r="D208" s="69">
        <f>Estimate!D207</f>
      </c>
      <c r="E208" s="78">
        <f>Estimate!E207</f>
      </c>
      <c r="F208" s="74" t="s">
        <v>145</v>
      </c>
      <c r="G208" s="74" t="s">
        <v>146</v>
      </c>
    </row>
    <row r="209" spans="1:7" ht="24.75" customHeight="1" hidden="1">
      <c r="A209" s="50">
        <f>Estimate!A208</f>
        <v>11</v>
      </c>
      <c r="B209" s="50">
        <f>Estimate!B208</f>
      </c>
      <c r="C209" s="69">
        <f>Estimate!C208</f>
      </c>
      <c r="D209" s="69">
        <f>Estimate!D208</f>
      </c>
      <c r="E209" s="78">
        <f>Estimate!E208</f>
      </c>
      <c r="F209" s="74" t="s">
        <v>145</v>
      </c>
      <c r="G209" s="74" t="s">
        <v>146</v>
      </c>
    </row>
    <row r="210" spans="1:7" s="39" customFormat="1" ht="24.75" customHeight="1" hidden="1">
      <c r="A210" s="50">
        <f>Estimate!A209</f>
        <v>12</v>
      </c>
      <c r="B210" s="50">
        <f>Estimate!B209</f>
      </c>
      <c r="C210" s="69">
        <f>Estimate!C209</f>
      </c>
      <c r="D210" s="69">
        <f>Estimate!D209</f>
      </c>
      <c r="E210" s="78">
        <f>Estimate!E209</f>
      </c>
      <c r="F210" s="74" t="s">
        <v>145</v>
      </c>
      <c r="G210" s="74" t="s">
        <v>146</v>
      </c>
    </row>
    <row r="211" spans="1:7" s="39" customFormat="1" ht="24.75" customHeight="1" hidden="1">
      <c r="A211" s="50">
        <f>Estimate!A210</f>
        <v>13</v>
      </c>
      <c r="B211" s="50">
        <f>Estimate!B210</f>
      </c>
      <c r="C211" s="69">
        <f>Estimate!C210</f>
      </c>
      <c r="D211" s="69">
        <f>Estimate!D210</f>
      </c>
      <c r="E211" s="78">
        <f>Estimate!E210</f>
      </c>
      <c r="F211" s="74" t="s">
        <v>145</v>
      </c>
      <c r="G211" s="74" t="s">
        <v>146</v>
      </c>
    </row>
    <row r="212" spans="1:7" s="39" customFormat="1" ht="24.75" customHeight="1" hidden="1">
      <c r="A212" s="50">
        <f>Estimate!A211</f>
        <v>14</v>
      </c>
      <c r="B212" s="50">
        <f>Estimate!B211</f>
      </c>
      <c r="C212" s="69">
        <f>Estimate!C211</f>
      </c>
      <c r="D212" s="69">
        <f>Estimate!D211</f>
      </c>
      <c r="E212" s="78">
        <f>Estimate!E211</f>
      </c>
      <c r="F212" s="74" t="s">
        <v>145</v>
      </c>
      <c r="G212" s="74" t="s">
        <v>146</v>
      </c>
    </row>
    <row r="213" spans="1:7" s="39" customFormat="1" ht="24.75" customHeight="1" hidden="1">
      <c r="A213" s="50">
        <f>Estimate!A212</f>
        <v>15</v>
      </c>
      <c r="B213" s="50">
        <f>Estimate!B212</f>
      </c>
      <c r="C213" s="69">
        <f>Estimate!C212</f>
      </c>
      <c r="D213" s="69">
        <f>Estimate!D212</f>
      </c>
      <c r="E213" s="78">
        <f>Estimate!E212</f>
      </c>
      <c r="F213" s="74" t="s">
        <v>145</v>
      </c>
      <c r="G213" s="74" t="s">
        <v>146</v>
      </c>
    </row>
    <row r="214" spans="1:7" s="39" customFormat="1" ht="24.75" customHeight="1" hidden="1">
      <c r="A214" s="50">
        <f>Estimate!A213</f>
        <v>16</v>
      </c>
      <c r="B214" s="50">
        <f>Estimate!B213</f>
      </c>
      <c r="C214" s="69">
        <f>Estimate!C213</f>
      </c>
      <c r="D214" s="69">
        <f>Estimate!D213</f>
      </c>
      <c r="E214" s="78">
        <f>Estimate!E213</f>
      </c>
      <c r="F214" s="74" t="s">
        <v>145</v>
      </c>
      <c r="G214" s="74" t="s">
        <v>146</v>
      </c>
    </row>
    <row r="215" spans="1:7" s="39" customFormat="1" ht="24.75" customHeight="1">
      <c r="A215" s="50"/>
      <c r="B215" s="40"/>
      <c r="C215" s="40"/>
      <c r="D215" s="40"/>
      <c r="E215" s="77" t="s">
        <v>147</v>
      </c>
      <c r="F215" s="42"/>
      <c r="G215" s="157">
        <f>SUM(G199:G204)</f>
        <v>0</v>
      </c>
    </row>
    <row r="216" spans="1:7" s="39" customFormat="1" ht="12.75">
      <c r="A216" s="50"/>
      <c r="B216" s="40"/>
      <c r="C216" s="40"/>
      <c r="D216" s="40"/>
      <c r="E216" s="68"/>
      <c r="F216" s="42"/>
      <c r="G216" s="42"/>
    </row>
    <row r="217" spans="1:7" s="39" customFormat="1" ht="12.75">
      <c r="A217" s="50"/>
      <c r="B217" s="40"/>
      <c r="C217" s="40"/>
      <c r="D217" s="40"/>
      <c r="E217" s="68"/>
      <c r="F217" s="42"/>
      <c r="G217" s="42"/>
    </row>
    <row r="218" spans="1:7" ht="28.5" customHeight="1">
      <c r="A218" s="170" t="s">
        <v>35</v>
      </c>
      <c r="B218" s="170"/>
      <c r="C218" s="170"/>
      <c r="D218" s="170"/>
      <c r="E218" s="170"/>
      <c r="F218" s="170"/>
      <c r="G218" s="170"/>
    </row>
    <row r="219" spans="1:7" ht="12.75">
      <c r="A219" s="167"/>
      <c r="B219" s="160"/>
      <c r="C219" s="160"/>
      <c r="D219" s="160"/>
      <c r="E219" s="160"/>
      <c r="F219" s="160"/>
      <c r="G219" s="160"/>
    </row>
    <row r="220" spans="1:7" ht="12.75">
      <c r="A220" s="38" t="s">
        <v>32</v>
      </c>
      <c r="B220" s="171" t="s">
        <v>181</v>
      </c>
      <c r="C220" s="166"/>
      <c r="D220" s="166"/>
      <c r="E220" s="37"/>
      <c r="F220" s="37"/>
      <c r="G220" s="37"/>
    </row>
    <row r="221" spans="1:7" s="81" customFormat="1" ht="15.75">
      <c r="A221" s="79"/>
      <c r="B221" s="171" t="str">
        <f>B190</f>
        <v>HC Engineer 2022 Road Improvement Project</v>
      </c>
      <c r="C221" s="171"/>
      <c r="D221" s="171"/>
      <c r="E221" s="80"/>
      <c r="F221" s="172" t="str">
        <f>F190</f>
        <v>March 8th, 2022 at 9:30 AM</v>
      </c>
      <c r="G221" s="172"/>
    </row>
    <row r="222" spans="2:7" s="39" customFormat="1" ht="12.75">
      <c r="B222" s="38" t="s">
        <v>34</v>
      </c>
      <c r="C222" s="38"/>
      <c r="D222" s="38"/>
      <c r="E222" s="37"/>
      <c r="F222" s="37"/>
      <c r="G222" s="66"/>
    </row>
    <row r="223" spans="1:7" s="39" customFormat="1" ht="12.75">
      <c r="A223" s="40"/>
      <c r="B223" s="40"/>
      <c r="C223" s="40"/>
      <c r="D223" s="40"/>
      <c r="E223" s="41"/>
      <c r="F223" s="42"/>
      <c r="G223" s="42"/>
    </row>
    <row r="224" spans="1:7" s="39" customFormat="1" ht="12.75">
      <c r="A224" s="68" t="str">
        <f>Estimate!A223</f>
        <v>Road J b/ Road 15- Road 16</v>
      </c>
      <c r="B224" s="68"/>
      <c r="C224" s="68"/>
      <c r="D224" s="68"/>
      <c r="E224" s="68"/>
      <c r="F224" s="42"/>
      <c r="G224" s="42"/>
    </row>
    <row r="225" spans="1:7" s="39" customFormat="1" ht="12.75">
      <c r="A225" s="68" t="str">
        <f>Estimate!A224</f>
        <v>Length:  5400 Feet or 1.02 Mile(s)</v>
      </c>
      <c r="B225" s="67"/>
      <c r="C225" s="68"/>
      <c r="D225" s="70"/>
      <c r="E225" s="71"/>
      <c r="F225" s="42"/>
      <c r="G225" s="42"/>
    </row>
    <row r="226" spans="1:5" s="39" customFormat="1" ht="12.75">
      <c r="A226" s="68" t="str">
        <f>Estimate!A225</f>
        <v>Width:  16 Feet     (Approx. 9705 S.Y. including radius and driveway work)</v>
      </c>
      <c r="B226" s="40"/>
      <c r="C226" s="68"/>
      <c r="D226" s="72"/>
      <c r="E226" s="72"/>
    </row>
    <row r="227" spans="1:7" s="39" customFormat="1" ht="12.75">
      <c r="A227" s="68" t="str">
        <f>Estimate!A226</f>
        <v>Type: ODOT Spec 823, with Spec 301 Widening </v>
      </c>
      <c r="B227" s="68"/>
      <c r="C227" s="68"/>
      <c r="D227" s="68"/>
      <c r="E227" s="68"/>
      <c r="F227" s="68"/>
      <c r="G227" s="68"/>
    </row>
    <row r="229" spans="1:7" ht="12.75">
      <c r="A229" s="52" t="s">
        <v>1</v>
      </c>
      <c r="B229" s="52" t="s">
        <v>2</v>
      </c>
      <c r="C229" s="52" t="s">
        <v>36</v>
      </c>
      <c r="D229" s="52" t="s">
        <v>3</v>
      </c>
      <c r="E229" s="73" t="s">
        <v>4</v>
      </c>
      <c r="F229" s="54" t="s">
        <v>5</v>
      </c>
      <c r="G229" s="54" t="s">
        <v>6</v>
      </c>
    </row>
    <row r="230" spans="1:7" ht="24.75" customHeight="1">
      <c r="A230" s="50">
        <f>Estimate!A229</f>
        <v>1</v>
      </c>
      <c r="B230" s="50">
        <f>Estimate!B229</f>
        <v>202</v>
      </c>
      <c r="C230" s="69">
        <f>Estimate!C229</f>
        <v>6</v>
      </c>
      <c r="D230" s="69" t="str">
        <f>Estimate!D229</f>
        <v>EA</v>
      </c>
      <c r="E230" s="78" t="str">
        <f>Estimate!E229</f>
        <v>Remove &amp; Relocate Mailbox/Paperbox</v>
      </c>
      <c r="F230" s="156"/>
      <c r="G230" s="156">
        <f>F230*C230</f>
        <v>0</v>
      </c>
    </row>
    <row r="231" spans="1:7" ht="32.25" customHeight="1">
      <c r="A231" s="50">
        <f>A230+1</f>
        <v>2</v>
      </c>
      <c r="B231" s="50">
        <f>Estimate!B230</f>
        <v>203</v>
      </c>
      <c r="C231" s="69">
        <f>Estimate!C230</f>
        <v>333</v>
      </c>
      <c r="D231" s="69" t="str">
        <f>Estimate!D230</f>
        <v>CY</v>
      </c>
      <c r="E231" s="78" t="str">
        <f>Estimate!E230</f>
        <v>Excavation (4' Widening , 2 Feet Each Side and Mailbox Turnout)</v>
      </c>
      <c r="F231" s="156"/>
      <c r="G231" s="156">
        <f aca="true" t="shared" si="7" ref="G231:G239">F231*C231</f>
        <v>0</v>
      </c>
    </row>
    <row r="232" spans="1:7" ht="32.25" customHeight="1">
      <c r="A232" s="50">
        <f>Estimate!A231</f>
        <v>3</v>
      </c>
      <c r="B232" s="50">
        <f>Estimate!B231</f>
        <v>204</v>
      </c>
      <c r="C232" s="69">
        <f>Estimate!C231</f>
        <v>2400</v>
      </c>
      <c r="D232" s="69" t="str">
        <f>Estimate!D231</f>
        <v>SY</v>
      </c>
      <c r="E232" s="78" t="str">
        <f>Estimate!E231</f>
        <v>Subgrade Compaction</v>
      </c>
      <c r="F232" s="156"/>
      <c r="G232" s="156">
        <f t="shared" si="7"/>
        <v>0</v>
      </c>
    </row>
    <row r="233" spans="1:7" ht="32.25" customHeight="1">
      <c r="A233" s="50">
        <f>Estimate!A232</f>
        <v>4</v>
      </c>
      <c r="B233" s="50">
        <f>Estimate!B232</f>
        <v>301</v>
      </c>
      <c r="C233" s="69">
        <f>Estimate!C232</f>
        <v>333</v>
      </c>
      <c r="D233" s="69" t="str">
        <f>Estimate!D232</f>
        <v>CY</v>
      </c>
      <c r="E233" s="78" t="str">
        <f>Estimate!E232</f>
        <v>Bituminous Aggregate Base, (5" average compacted depth, includes 407 tack coat on vertical face)</v>
      </c>
      <c r="F233" s="156"/>
      <c r="G233" s="156">
        <f t="shared" si="7"/>
        <v>0</v>
      </c>
    </row>
    <row r="234" spans="1:7" ht="24.75" customHeight="1">
      <c r="A234" s="50">
        <f>Estimate!A233</f>
        <v>5</v>
      </c>
      <c r="B234" s="50">
        <f>Estimate!B233</f>
        <v>407</v>
      </c>
      <c r="C234" s="69">
        <f>Estimate!C233</f>
        <v>485</v>
      </c>
      <c r="D234" s="69" t="str">
        <f>Estimate!D233</f>
        <v>Gal</v>
      </c>
      <c r="E234" s="78" t="str">
        <f>Estimate!E233</f>
        <v>Bituminous Tack Coat applied at 0.05 gallons per square yard</v>
      </c>
      <c r="F234" s="156"/>
      <c r="G234" s="156">
        <f t="shared" si="7"/>
        <v>0</v>
      </c>
    </row>
    <row r="235" spans="1:7" ht="24.75" customHeight="1">
      <c r="A235" s="50">
        <f>Estimate!A234</f>
        <v>6</v>
      </c>
      <c r="B235" s="50">
        <f>Estimate!B234</f>
        <v>441</v>
      </c>
      <c r="C235" s="69">
        <f>Estimate!C234</f>
        <v>404</v>
      </c>
      <c r="D235" s="69" t="str">
        <f>Estimate!D234</f>
        <v>C.Y.</v>
      </c>
      <c r="E235" s="78" t="str">
        <f>Estimate!E234</f>
        <v>Asphalt concrete surface course PG 64-22, Type 1 (823) applied, spread and compacted at the average depth of 1.5 inches</v>
      </c>
      <c r="F235" s="156"/>
      <c r="G235" s="156">
        <f t="shared" si="7"/>
        <v>0</v>
      </c>
    </row>
    <row r="236" spans="1:7" ht="24.75" customHeight="1">
      <c r="A236" s="50">
        <f>Estimate!A235</f>
        <v>7</v>
      </c>
      <c r="B236" s="50">
        <f>Estimate!B235</f>
        <v>254</v>
      </c>
      <c r="C236" s="69">
        <f>Estimate!C235</f>
        <v>550</v>
      </c>
      <c r="D236" s="69" t="str">
        <f>Estimate!D235</f>
        <v>S.Y.</v>
      </c>
      <c r="E236" s="78" t="str">
        <f>Estimate!E235</f>
        <v>Pavement Planing ( 20' including radius)</v>
      </c>
      <c r="F236" s="156"/>
      <c r="G236" s="156">
        <f t="shared" si="7"/>
        <v>0</v>
      </c>
    </row>
    <row r="237" spans="1:7" ht="24.75" customHeight="1">
      <c r="A237" s="50">
        <f>Estimate!A236</f>
        <v>8</v>
      </c>
      <c r="B237" s="50">
        <f>Estimate!B236</f>
        <v>614</v>
      </c>
      <c r="C237" s="69">
        <f>Estimate!C236</f>
        <v>1</v>
      </c>
      <c r="D237" s="69" t="str">
        <f>Estimate!D236</f>
        <v>L.S.</v>
      </c>
      <c r="E237" s="78" t="str">
        <f>Estimate!E236</f>
        <v>Maintaining Traffic</v>
      </c>
      <c r="F237" s="156"/>
      <c r="G237" s="156">
        <f t="shared" si="7"/>
        <v>0</v>
      </c>
    </row>
    <row r="238" spans="1:7" ht="24.75" customHeight="1">
      <c r="A238" s="50">
        <f>Estimate!A237</f>
        <v>9</v>
      </c>
      <c r="B238" s="50">
        <f>Estimate!B237</f>
        <v>624</v>
      </c>
      <c r="C238" s="69">
        <f>Estimate!C237</f>
        <v>1</v>
      </c>
      <c r="D238" s="69" t="str">
        <f>Estimate!D237</f>
        <v>L.S.</v>
      </c>
      <c r="E238" s="78" t="str">
        <f>Estimate!E237</f>
        <v>Mobilization</v>
      </c>
      <c r="F238" s="156"/>
      <c r="G238" s="156">
        <f t="shared" si="7"/>
        <v>0</v>
      </c>
    </row>
    <row r="239" spans="1:7" ht="24.75" customHeight="1">
      <c r="A239" s="50">
        <f>Estimate!A238</f>
        <v>10</v>
      </c>
      <c r="B239" s="50">
        <f>Estimate!B238</f>
        <v>103.05</v>
      </c>
      <c r="C239" s="69">
        <f>Estimate!C238</f>
        <v>1</v>
      </c>
      <c r="D239" s="69" t="str">
        <f>Estimate!D238</f>
        <v>L.S.</v>
      </c>
      <c r="E239" s="78" t="str">
        <f>Estimate!E238</f>
        <v>Contract Performance &amp; Payment Bond</v>
      </c>
      <c r="F239" s="156"/>
      <c r="G239" s="156">
        <f t="shared" si="7"/>
        <v>0</v>
      </c>
    </row>
    <row r="240" spans="1:7" ht="24.75" customHeight="1" hidden="1">
      <c r="A240" s="50">
        <f>Estimate!A239</f>
        <v>11</v>
      </c>
      <c r="B240" s="50">
        <f>Estimate!B239</f>
      </c>
      <c r="C240" s="69">
        <f>Estimate!C239</f>
      </c>
      <c r="D240" s="69">
        <f>Estimate!D239</f>
      </c>
      <c r="E240" s="78">
        <f>Estimate!E239</f>
      </c>
      <c r="F240" s="74" t="s">
        <v>145</v>
      </c>
      <c r="G240" s="74" t="s">
        <v>146</v>
      </c>
    </row>
    <row r="241" spans="1:7" s="39" customFormat="1" ht="24.75" customHeight="1" hidden="1">
      <c r="A241" s="50">
        <f>Estimate!A240</f>
        <v>12</v>
      </c>
      <c r="B241" s="50">
        <f>Estimate!B240</f>
      </c>
      <c r="C241" s="69">
        <f>Estimate!C240</f>
      </c>
      <c r="D241" s="69">
        <f>Estimate!D240</f>
      </c>
      <c r="E241" s="78">
        <f>Estimate!E240</f>
      </c>
      <c r="F241" s="74" t="s">
        <v>145</v>
      </c>
      <c r="G241" s="74" t="s">
        <v>146</v>
      </c>
    </row>
    <row r="242" spans="1:7" s="39" customFormat="1" ht="24.75" customHeight="1" hidden="1">
      <c r="A242" s="50">
        <f>Estimate!A241</f>
        <v>13</v>
      </c>
      <c r="B242" s="50">
        <f>Estimate!B241</f>
      </c>
      <c r="C242" s="69">
        <f>Estimate!C241</f>
      </c>
      <c r="D242" s="69">
        <f>Estimate!D241</f>
      </c>
      <c r="E242" s="78">
        <f>Estimate!E241</f>
      </c>
      <c r="F242" s="74" t="s">
        <v>145</v>
      </c>
      <c r="G242" s="74" t="s">
        <v>146</v>
      </c>
    </row>
    <row r="243" spans="1:7" s="39" customFormat="1" ht="24.75" customHeight="1" hidden="1">
      <c r="A243" s="50">
        <f>Estimate!A242</f>
        <v>14</v>
      </c>
      <c r="B243" s="50">
        <f>Estimate!B242</f>
      </c>
      <c r="C243" s="69">
        <f>Estimate!C242</f>
      </c>
      <c r="D243" s="69">
        <f>Estimate!D242</f>
      </c>
      <c r="E243" s="78">
        <f>Estimate!E242</f>
      </c>
      <c r="F243" s="74" t="s">
        <v>145</v>
      </c>
      <c r="G243" s="74" t="s">
        <v>146</v>
      </c>
    </row>
    <row r="244" spans="1:7" s="39" customFormat="1" ht="24.75" customHeight="1" hidden="1">
      <c r="A244" s="50">
        <f>Estimate!A243</f>
        <v>15</v>
      </c>
      <c r="B244" s="50">
        <f>Estimate!B243</f>
      </c>
      <c r="C244" s="69">
        <f>Estimate!C243</f>
      </c>
      <c r="D244" s="69">
        <f>Estimate!D243</f>
      </c>
      <c r="E244" s="78">
        <f>Estimate!E243</f>
      </c>
      <c r="F244" s="74" t="s">
        <v>145</v>
      </c>
      <c r="G244" s="74" t="s">
        <v>146</v>
      </c>
    </row>
    <row r="245" spans="1:7" s="39" customFormat="1" ht="24.75" customHeight="1" hidden="1">
      <c r="A245" s="50">
        <f>Estimate!A244</f>
        <v>16</v>
      </c>
      <c r="B245" s="50">
        <f>Estimate!B244</f>
      </c>
      <c r="C245" s="69">
        <f>Estimate!C244</f>
      </c>
      <c r="D245" s="69">
        <f>Estimate!D244</f>
      </c>
      <c r="E245" s="78">
        <f>Estimate!E244</f>
      </c>
      <c r="F245" s="74" t="s">
        <v>145</v>
      </c>
      <c r="G245" s="74" t="s">
        <v>146</v>
      </c>
    </row>
    <row r="246" spans="1:7" s="39" customFormat="1" ht="24.75" customHeight="1">
      <c r="A246" s="50"/>
      <c r="B246" s="40"/>
      <c r="C246" s="40"/>
      <c r="D246" s="40"/>
      <c r="E246" s="77" t="s">
        <v>147</v>
      </c>
      <c r="F246" s="42"/>
      <c r="G246" s="157">
        <f>SUM(G230:G239)</f>
        <v>0</v>
      </c>
    </row>
    <row r="247" spans="1:7" s="39" customFormat="1" ht="12.75">
      <c r="A247" s="50"/>
      <c r="B247" s="40"/>
      <c r="C247" s="40"/>
      <c r="D247" s="40"/>
      <c r="E247" s="68"/>
      <c r="F247" s="42"/>
      <c r="G247" s="42"/>
    </row>
    <row r="248" spans="1:7" s="39" customFormat="1" ht="12.75">
      <c r="A248" s="50"/>
      <c r="B248" s="40"/>
      <c r="C248" s="40"/>
      <c r="D248" s="40"/>
      <c r="E248" s="68"/>
      <c r="F248" s="42"/>
      <c r="G248" s="42"/>
    </row>
    <row r="249" spans="1:7" ht="28.5" customHeight="1" hidden="1">
      <c r="A249" s="170" t="s">
        <v>35</v>
      </c>
      <c r="B249" s="170"/>
      <c r="C249" s="170"/>
      <c r="D249" s="170"/>
      <c r="E249" s="170"/>
      <c r="F249" s="170"/>
      <c r="G249" s="170"/>
    </row>
    <row r="250" spans="1:7" ht="12.75" hidden="1">
      <c r="A250" s="167"/>
      <c r="B250" s="160"/>
      <c r="C250" s="160"/>
      <c r="D250" s="160"/>
      <c r="E250" s="160"/>
      <c r="F250" s="160"/>
      <c r="G250" s="160"/>
    </row>
    <row r="251" spans="1:7" ht="12.75" hidden="1">
      <c r="A251" s="38" t="s">
        <v>32</v>
      </c>
      <c r="B251" s="171" t="s">
        <v>33</v>
      </c>
      <c r="C251" s="166"/>
      <c r="D251" s="166"/>
      <c r="E251" s="37"/>
      <c r="F251" s="37"/>
      <c r="G251" s="37"/>
    </row>
    <row r="252" spans="1:7" s="81" customFormat="1" ht="15.75" hidden="1">
      <c r="A252" s="79"/>
      <c r="B252" s="171" t="str">
        <f>B221</f>
        <v>HC Engineer 2022 Road Improvement Project</v>
      </c>
      <c r="C252" s="171"/>
      <c r="D252" s="171"/>
      <c r="E252" s="80"/>
      <c r="F252" s="172" t="str">
        <f>F221</f>
        <v>March 8th, 2022 at 9:30 AM</v>
      </c>
      <c r="G252" s="172"/>
    </row>
    <row r="253" spans="2:7" s="39" customFormat="1" ht="12.75" hidden="1">
      <c r="B253" s="38" t="s">
        <v>34</v>
      </c>
      <c r="C253" s="38"/>
      <c r="D253" s="38"/>
      <c r="E253" s="37"/>
      <c r="F253" s="37"/>
      <c r="G253" s="66"/>
    </row>
    <row r="254" spans="1:7" s="39" customFormat="1" ht="12.75" hidden="1">
      <c r="A254" s="40"/>
      <c r="B254" s="40"/>
      <c r="C254" s="40"/>
      <c r="D254" s="40"/>
      <c r="E254" s="41"/>
      <c r="F254" s="42"/>
      <c r="G254" s="42"/>
    </row>
    <row r="255" spans="1:7" s="39" customFormat="1" ht="12.75" hidden="1">
      <c r="A255" s="68">
        <f>Estimate!A254</f>
        <v>0</v>
      </c>
      <c r="B255" s="68"/>
      <c r="C255" s="68"/>
      <c r="D255" s="68"/>
      <c r="E255" s="68"/>
      <c r="F255" s="42"/>
      <c r="G255" s="42"/>
    </row>
    <row r="256" spans="1:7" s="39" customFormat="1" ht="12.75" hidden="1">
      <c r="A256" s="68" t="str">
        <f>Estimate!A255</f>
        <v>Length:  0 Feet or 0 Mile(s)</v>
      </c>
      <c r="B256" s="67"/>
      <c r="C256" s="68"/>
      <c r="D256" s="70"/>
      <c r="E256" s="71"/>
      <c r="F256" s="42"/>
      <c r="G256" s="42"/>
    </row>
    <row r="257" spans="1:5" s="39" customFormat="1" ht="12.75" hidden="1">
      <c r="A257" s="68" t="str">
        <f>Estimate!A256</f>
        <v>Width:  0 Feet     (Approx. 0 S.Y. including radius and driveway work)</v>
      </c>
      <c r="B257" s="40"/>
      <c r="C257" s="68"/>
      <c r="D257" s="72"/>
      <c r="E257" s="72"/>
    </row>
    <row r="258" spans="1:7" s="39" customFormat="1" ht="12.75" hidden="1">
      <c r="A258" s="68" t="str">
        <f>Estimate!A257</f>
        <v>Type: ODOT Spec 823 </v>
      </c>
      <c r="B258" s="68"/>
      <c r="C258" s="68"/>
      <c r="D258" s="68"/>
      <c r="E258" s="68"/>
      <c r="F258" s="68"/>
      <c r="G258" s="68"/>
    </row>
    <row r="259" ht="12.75" hidden="1"/>
    <row r="260" spans="1:7" ht="12.75" hidden="1">
      <c r="A260" s="52" t="s">
        <v>1</v>
      </c>
      <c r="B260" s="52" t="s">
        <v>2</v>
      </c>
      <c r="C260" s="52" t="s">
        <v>36</v>
      </c>
      <c r="D260" s="52" t="s">
        <v>3</v>
      </c>
      <c r="E260" s="73" t="s">
        <v>4</v>
      </c>
      <c r="F260" s="54" t="s">
        <v>5</v>
      </c>
      <c r="G260" s="54" t="s">
        <v>6</v>
      </c>
    </row>
    <row r="261" spans="1:7" ht="24.75" customHeight="1" hidden="1">
      <c r="A261" s="50">
        <f>Estimate!A260</f>
        <v>1</v>
      </c>
      <c r="B261" s="50">
        <f>Estimate!B260</f>
      </c>
      <c r="C261" s="69">
        <f>Estimate!C260</f>
      </c>
      <c r="D261" s="69">
        <f>Estimate!D260</f>
      </c>
      <c r="E261" s="78">
        <f>Estimate!E260</f>
      </c>
      <c r="F261" s="74" t="s">
        <v>145</v>
      </c>
      <c r="G261" s="74" t="s">
        <v>146</v>
      </c>
    </row>
    <row r="262" spans="1:7" ht="32.25" customHeight="1" hidden="1">
      <c r="A262" s="50">
        <f>A261+1</f>
        <v>2</v>
      </c>
      <c r="B262" s="50">
        <f>Estimate!B261</f>
      </c>
      <c r="C262" s="69">
        <f>Estimate!C261</f>
      </c>
      <c r="D262" s="69">
        <f>Estimate!D261</f>
      </c>
      <c r="E262" s="78">
        <f>Estimate!E261</f>
      </c>
      <c r="F262" s="74" t="s">
        <v>145</v>
      </c>
      <c r="G262" s="74" t="s">
        <v>146</v>
      </c>
    </row>
    <row r="263" spans="1:7" ht="32.25" customHeight="1" hidden="1">
      <c r="A263" s="50">
        <f>Estimate!A262</f>
        <v>3</v>
      </c>
      <c r="B263" s="50">
        <f>Estimate!B262</f>
      </c>
      <c r="C263" s="69">
        <f>Estimate!C262</f>
      </c>
      <c r="D263" s="69">
        <f>Estimate!D262</f>
      </c>
      <c r="E263" s="78">
        <f>Estimate!E262</f>
      </c>
      <c r="F263" s="74" t="s">
        <v>145</v>
      </c>
      <c r="G263" s="74" t="s">
        <v>146</v>
      </c>
    </row>
    <row r="264" spans="1:7" ht="32.25" customHeight="1" hidden="1">
      <c r="A264" s="50">
        <f>Estimate!A263</f>
        <v>4</v>
      </c>
      <c r="B264" s="50">
        <f>Estimate!B263</f>
      </c>
      <c r="C264" s="69">
        <f>Estimate!C263</f>
      </c>
      <c r="D264" s="69">
        <f>Estimate!D263</f>
      </c>
      <c r="E264" s="78">
        <f>Estimate!E263</f>
      </c>
      <c r="F264" s="74" t="s">
        <v>145</v>
      </c>
      <c r="G264" s="74" t="s">
        <v>146</v>
      </c>
    </row>
    <row r="265" spans="1:7" ht="24.75" customHeight="1" hidden="1">
      <c r="A265" s="50">
        <f>Estimate!A264</f>
        <v>5</v>
      </c>
      <c r="B265" s="50">
        <f>Estimate!B264</f>
      </c>
      <c r="C265" s="69">
        <f>Estimate!C264</f>
      </c>
      <c r="D265" s="69">
        <f>Estimate!D264</f>
      </c>
      <c r="E265" s="78">
        <f>Estimate!E264</f>
      </c>
      <c r="F265" s="74" t="s">
        <v>145</v>
      </c>
      <c r="G265" s="74" t="s">
        <v>146</v>
      </c>
    </row>
    <row r="266" spans="1:7" ht="24.75" customHeight="1" hidden="1">
      <c r="A266" s="50">
        <f>Estimate!A265</f>
        <v>6</v>
      </c>
      <c r="B266" s="50">
        <f>Estimate!B265</f>
      </c>
      <c r="C266" s="69">
        <f>Estimate!C265</f>
      </c>
      <c r="D266" s="69">
        <f>Estimate!D265</f>
      </c>
      <c r="E266" s="78">
        <f>Estimate!E265</f>
      </c>
      <c r="F266" s="74" t="s">
        <v>145</v>
      </c>
      <c r="G266" s="74" t="s">
        <v>146</v>
      </c>
    </row>
    <row r="267" spans="1:7" ht="24.75" customHeight="1" hidden="1">
      <c r="A267" s="50">
        <f>Estimate!A266</f>
        <v>7</v>
      </c>
      <c r="B267" s="50">
        <f>Estimate!B266</f>
      </c>
      <c r="C267" s="69">
        <f>Estimate!C266</f>
      </c>
      <c r="D267" s="69">
        <f>Estimate!D266</f>
      </c>
      <c r="E267" s="78">
        <f>Estimate!E266</f>
      </c>
      <c r="F267" s="74" t="s">
        <v>145</v>
      </c>
      <c r="G267" s="74" t="s">
        <v>146</v>
      </c>
    </row>
    <row r="268" spans="1:7" ht="24.75" customHeight="1" hidden="1">
      <c r="A268" s="50">
        <f>Estimate!A267</f>
        <v>8</v>
      </c>
      <c r="B268" s="50">
        <f>Estimate!B267</f>
      </c>
      <c r="C268" s="69">
        <f>Estimate!C267</f>
      </c>
      <c r="D268" s="69">
        <f>Estimate!D267</f>
      </c>
      <c r="E268" s="78">
        <f>Estimate!E267</f>
      </c>
      <c r="F268" s="74" t="s">
        <v>145</v>
      </c>
      <c r="G268" s="74" t="s">
        <v>146</v>
      </c>
    </row>
    <row r="269" spans="1:7" ht="24.75" customHeight="1" hidden="1">
      <c r="A269" s="50">
        <f>Estimate!A268</f>
        <v>9</v>
      </c>
      <c r="B269" s="50">
        <f>Estimate!B268</f>
      </c>
      <c r="C269" s="69">
        <f>Estimate!C268</f>
      </c>
      <c r="D269" s="69">
        <f>Estimate!D268</f>
      </c>
      <c r="E269" s="78">
        <f>Estimate!E268</f>
      </c>
      <c r="F269" s="74" t="s">
        <v>145</v>
      </c>
      <c r="G269" s="74" t="s">
        <v>146</v>
      </c>
    </row>
    <row r="270" spans="1:7" ht="24.75" customHeight="1" hidden="1">
      <c r="A270" s="50">
        <f>Estimate!A269</f>
        <v>10</v>
      </c>
      <c r="B270" s="50">
        <f>Estimate!B269</f>
      </c>
      <c r="C270" s="69">
        <f>Estimate!C269</f>
      </c>
      <c r="D270" s="69">
        <f>Estimate!D269</f>
      </c>
      <c r="E270" s="78">
        <f>Estimate!E269</f>
      </c>
      <c r="F270" s="74" t="s">
        <v>145</v>
      </c>
      <c r="G270" s="74" t="s">
        <v>146</v>
      </c>
    </row>
    <row r="271" spans="1:7" ht="24.75" customHeight="1" hidden="1">
      <c r="A271" s="50">
        <f>Estimate!A270</f>
        <v>11</v>
      </c>
      <c r="B271" s="50">
        <f>Estimate!B270</f>
      </c>
      <c r="C271" s="69">
        <f>Estimate!C270</f>
      </c>
      <c r="D271" s="69">
        <f>Estimate!D270</f>
      </c>
      <c r="E271" s="78">
        <f>Estimate!E270</f>
      </c>
      <c r="F271" s="74" t="s">
        <v>145</v>
      </c>
      <c r="G271" s="74" t="s">
        <v>146</v>
      </c>
    </row>
    <row r="272" spans="1:7" s="39" customFormat="1" ht="24.75" customHeight="1" hidden="1">
      <c r="A272" s="50">
        <f>Estimate!A271</f>
        <v>12</v>
      </c>
      <c r="B272" s="50">
        <f>Estimate!B271</f>
      </c>
      <c r="C272" s="69">
        <f>Estimate!C271</f>
      </c>
      <c r="D272" s="69">
        <f>Estimate!D271</f>
      </c>
      <c r="E272" s="78">
        <f>Estimate!E271</f>
      </c>
      <c r="F272" s="74" t="s">
        <v>145</v>
      </c>
      <c r="G272" s="74" t="s">
        <v>146</v>
      </c>
    </row>
    <row r="273" spans="1:7" s="39" customFormat="1" ht="24.75" customHeight="1" hidden="1">
      <c r="A273" s="50">
        <f>Estimate!A272</f>
        <v>13</v>
      </c>
      <c r="B273" s="50">
        <f>Estimate!B272</f>
      </c>
      <c r="C273" s="69">
        <f>Estimate!C272</f>
      </c>
      <c r="D273" s="69">
        <f>Estimate!D272</f>
      </c>
      <c r="E273" s="78">
        <f>Estimate!E272</f>
      </c>
      <c r="F273" s="74" t="s">
        <v>145</v>
      </c>
      <c r="G273" s="74" t="s">
        <v>146</v>
      </c>
    </row>
    <row r="274" spans="1:7" s="39" customFormat="1" ht="24.75" customHeight="1" hidden="1">
      <c r="A274" s="50">
        <f>Estimate!A273</f>
        <v>14</v>
      </c>
      <c r="B274" s="50">
        <f>Estimate!B273</f>
      </c>
      <c r="C274" s="69">
        <f>Estimate!C273</f>
      </c>
      <c r="D274" s="69">
        <f>Estimate!D273</f>
      </c>
      <c r="E274" s="78">
        <f>Estimate!E273</f>
      </c>
      <c r="F274" s="74" t="s">
        <v>145</v>
      </c>
      <c r="G274" s="74" t="s">
        <v>146</v>
      </c>
    </row>
    <row r="275" spans="1:7" s="39" customFormat="1" ht="24.75" customHeight="1" hidden="1">
      <c r="A275" s="50">
        <f>Estimate!A274</f>
        <v>15</v>
      </c>
      <c r="B275" s="50">
        <f>Estimate!B274</f>
      </c>
      <c r="C275" s="69">
        <f>Estimate!C274</f>
      </c>
      <c r="D275" s="69">
        <f>Estimate!D274</f>
      </c>
      <c r="E275" s="78">
        <f>Estimate!E274</f>
      </c>
      <c r="F275" s="74" t="s">
        <v>145</v>
      </c>
      <c r="G275" s="74" t="s">
        <v>146</v>
      </c>
    </row>
    <row r="276" spans="1:7" s="39" customFormat="1" ht="24.75" customHeight="1" hidden="1">
      <c r="A276" s="50">
        <f>Estimate!A275</f>
        <v>16</v>
      </c>
      <c r="B276" s="50">
        <f>Estimate!B275</f>
      </c>
      <c r="C276" s="69">
        <f>Estimate!C275</f>
      </c>
      <c r="D276" s="69">
        <f>Estimate!D275</f>
      </c>
      <c r="E276" s="78">
        <f>Estimate!E275</f>
      </c>
      <c r="F276" s="74" t="s">
        <v>145</v>
      </c>
      <c r="G276" s="74" t="s">
        <v>146</v>
      </c>
    </row>
    <row r="277" spans="1:7" s="39" customFormat="1" ht="24.75" customHeight="1" hidden="1">
      <c r="A277" s="50"/>
      <c r="B277" s="40"/>
      <c r="C277" s="40"/>
      <c r="D277" s="40"/>
      <c r="E277" s="77" t="s">
        <v>147</v>
      </c>
      <c r="F277" s="42"/>
      <c r="G277" s="75" t="s">
        <v>146</v>
      </c>
    </row>
    <row r="278" spans="1:7" s="39" customFormat="1" ht="13.5" thickBot="1">
      <c r="A278" s="50"/>
      <c r="B278" s="40"/>
      <c r="C278" s="40"/>
      <c r="D278" s="40"/>
      <c r="E278" s="68"/>
      <c r="F278" s="42"/>
      <c r="G278" s="42"/>
    </row>
    <row r="279" spans="1:7" s="39" customFormat="1" ht="18.75" thickBot="1">
      <c r="A279" s="50"/>
      <c r="B279" s="40"/>
      <c r="C279" s="40"/>
      <c r="D279" s="40"/>
      <c r="E279" s="76" t="s">
        <v>148</v>
      </c>
      <c r="F279" s="175">
        <f>G246+G215+G184+G153+G122+G91+G60+G29</f>
        <v>0</v>
      </c>
      <c r="G279" s="176"/>
    </row>
    <row r="281" ht="13.5" thickBot="1"/>
    <row r="282" ht="13.5" thickBot="1">
      <c r="F282" s="158"/>
    </row>
  </sheetData>
  <sheetProtection formatCells="0" formatColumns="0" formatRows="0"/>
  <mergeCells count="46">
    <mergeCell ref="B252:D252"/>
    <mergeCell ref="F252:G252"/>
    <mergeCell ref="B220:D220"/>
    <mergeCell ref="B221:D221"/>
    <mergeCell ref="F221:G221"/>
    <mergeCell ref="A249:G249"/>
    <mergeCell ref="A250:G250"/>
    <mergeCell ref="B251:D251"/>
    <mergeCell ref="A32:G32"/>
    <mergeCell ref="A33:G33"/>
    <mergeCell ref="B34:D34"/>
    <mergeCell ref="B35:D35"/>
    <mergeCell ref="F35:G35"/>
    <mergeCell ref="F279:G279"/>
    <mergeCell ref="B190:D190"/>
    <mergeCell ref="F190:G190"/>
    <mergeCell ref="A218:G218"/>
    <mergeCell ref="A219:G219"/>
    <mergeCell ref="A63:G63"/>
    <mergeCell ref="F97:G97"/>
    <mergeCell ref="A64:G64"/>
    <mergeCell ref="B65:D65"/>
    <mergeCell ref="B66:D66"/>
    <mergeCell ref="F66:G66"/>
    <mergeCell ref="A94:G94"/>
    <mergeCell ref="A95:G95"/>
    <mergeCell ref="A156:G156"/>
    <mergeCell ref="B3:D3"/>
    <mergeCell ref="B4:D4"/>
    <mergeCell ref="F4:G4"/>
    <mergeCell ref="B96:D96"/>
    <mergeCell ref="B97:D97"/>
    <mergeCell ref="A126:G126"/>
    <mergeCell ref="B127:D127"/>
    <mergeCell ref="B128:D128"/>
    <mergeCell ref="F128:G128"/>
    <mergeCell ref="A187:G187"/>
    <mergeCell ref="A188:G188"/>
    <mergeCell ref="B189:D189"/>
    <mergeCell ref="A1:G1"/>
    <mergeCell ref="A2:G2"/>
    <mergeCell ref="A157:G157"/>
    <mergeCell ref="B158:D158"/>
    <mergeCell ref="B159:D159"/>
    <mergeCell ref="F159:G159"/>
    <mergeCell ref="A125:G125"/>
  </mergeCells>
  <printOptions/>
  <pageMargins left="0.75" right="0.75" top="0.75" bottom="0.75" header="0.5" footer="0.5"/>
  <pageSetup horizontalDpi="600" verticalDpi="600" orientation="landscape" scale="99" r:id="rId1"/>
  <rowBreaks count="7" manualBreakCount="7">
    <brk id="31" max="255" man="1"/>
    <brk id="62" max="255" man="1"/>
    <brk id="93" max="255" man="1"/>
    <brk id="124" max="255" man="1"/>
    <brk id="155" max="255" man="1"/>
    <brk id="186" max="255" man="1"/>
    <brk id="2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78"/>
  <sheetViews>
    <sheetView zoomScale="85" zoomScaleNormal="85" zoomScalePageLayoutView="0" workbookViewId="0" topLeftCell="A1">
      <selection activeCell="A20" sqref="A20:IV20"/>
    </sheetView>
  </sheetViews>
  <sheetFormatPr defaultColWidth="11.421875" defaultRowHeight="12.75"/>
  <cols>
    <col min="1" max="2" width="6.8515625" style="40" customWidth="1"/>
    <col min="3" max="3" width="8.421875" style="40" customWidth="1"/>
    <col min="4" max="4" width="7.57421875" style="40" customWidth="1"/>
    <col min="5" max="5" width="55.8515625" style="41" customWidth="1"/>
    <col min="6" max="6" width="13.28125" style="42" customWidth="1"/>
    <col min="7" max="7" width="14.00390625" style="42" customWidth="1"/>
    <col min="8" max="8" width="11.421875" style="36" customWidth="1"/>
    <col min="9" max="9" width="12.421875" style="36" bestFit="1" customWidth="1"/>
    <col min="10" max="10" width="11.421875" style="36" customWidth="1"/>
    <col min="11" max="11" width="12.421875" style="36" bestFit="1" customWidth="1"/>
    <col min="12" max="12" width="11.421875" style="36" customWidth="1"/>
    <col min="13" max="13" width="12.421875" style="36" bestFit="1" customWidth="1"/>
    <col min="14" max="14" width="11.421875" style="36" customWidth="1"/>
    <col min="15" max="15" width="12.421875" style="36" bestFit="1" customWidth="1"/>
    <col min="16" max="16" width="11.421875" style="36" customWidth="1"/>
    <col min="17" max="17" width="12.421875" style="36" bestFit="1" customWidth="1"/>
    <col min="18" max="18" width="11.421875" style="36" customWidth="1"/>
    <col min="19" max="19" width="12.421875" style="36" bestFit="1" customWidth="1"/>
    <col min="20" max="16384" width="11.421875" style="36" customWidth="1"/>
  </cols>
  <sheetData>
    <row r="1" spans="1:7" ht="12.75">
      <c r="A1" s="165"/>
      <c r="B1" s="165"/>
      <c r="C1" s="165"/>
      <c r="D1" s="165"/>
      <c r="E1" s="165"/>
      <c r="F1" s="165"/>
      <c r="G1" s="165"/>
    </row>
    <row r="2" spans="1:7" s="38" customFormat="1" ht="12.75">
      <c r="A2" s="159" t="s">
        <v>149</v>
      </c>
      <c r="B2" s="160"/>
      <c r="C2" s="160"/>
      <c r="D2" s="160"/>
      <c r="E2" s="160"/>
      <c r="F2" s="160"/>
      <c r="G2" s="160"/>
    </row>
    <row r="3" spans="1:7" s="38" customFormat="1" ht="12.75">
      <c r="A3" s="163" t="s">
        <v>141</v>
      </c>
      <c r="B3" s="164"/>
      <c r="C3" s="164"/>
      <c r="D3" s="164"/>
      <c r="E3" s="164"/>
      <c r="F3" s="164"/>
      <c r="G3" s="164"/>
    </row>
    <row r="4" spans="1:7" s="38" customFormat="1" ht="12" customHeight="1">
      <c r="A4" s="161" t="s">
        <v>142</v>
      </c>
      <c r="B4" s="162"/>
      <c r="C4" s="162"/>
      <c r="D4" s="162"/>
      <c r="E4" s="162"/>
      <c r="F4" s="162"/>
      <c r="G4" s="162"/>
    </row>
    <row r="5" ht="11.25" customHeight="1"/>
    <row r="6" spans="1:7" s="44" customFormat="1" ht="12.75">
      <c r="A6" s="43" t="str">
        <f>Quantities!C4</f>
        <v>Road 14 b/ Road M- Road Z</v>
      </c>
      <c r="F6" s="45"/>
      <c r="G6" s="45"/>
    </row>
    <row r="7" spans="1:7" s="38" customFormat="1" ht="12.75">
      <c r="A7" s="44" t="str">
        <f>Quantities!AB22</f>
        <v>Length:  12945 Feet or 2.45 Mile(s)</v>
      </c>
      <c r="B7" s="46"/>
      <c r="C7" s="44"/>
      <c r="D7" s="47"/>
      <c r="F7" s="48"/>
      <c r="G7" s="48"/>
    </row>
    <row r="8" spans="1:7" s="38" customFormat="1" ht="12.75">
      <c r="A8" s="44" t="str">
        <f>Quantities!AB23</f>
        <v>Width:  19 Feet     (Approx. 27490 S.Y. including radius and driveway work)</v>
      </c>
      <c r="B8" s="44"/>
      <c r="C8" s="46"/>
      <c r="D8" s="49"/>
      <c r="F8" s="48"/>
      <c r="G8" s="48"/>
    </row>
    <row r="9" spans="1:7" s="38" customFormat="1" ht="13.5" thickBot="1">
      <c r="A9" s="44" t="str">
        <f>Quantities!AB24</f>
        <v>Type: ODOT Spec 823 </v>
      </c>
      <c r="B9" s="50"/>
      <c r="C9" s="50"/>
      <c r="D9" s="50"/>
      <c r="F9" s="48"/>
      <c r="G9" s="48"/>
    </row>
    <row r="10" spans="1:19" s="38" customFormat="1" ht="12.75">
      <c r="A10" s="136"/>
      <c r="B10" s="137"/>
      <c r="C10" s="138"/>
      <c r="D10" s="138"/>
      <c r="E10" s="139"/>
      <c r="F10" s="177" t="s">
        <v>150</v>
      </c>
      <c r="G10" s="178"/>
      <c r="H10" s="180" t="s">
        <v>151</v>
      </c>
      <c r="I10" s="181"/>
      <c r="J10" s="179" t="s">
        <v>152</v>
      </c>
      <c r="K10" s="179"/>
      <c r="L10" s="179" t="s">
        <v>153</v>
      </c>
      <c r="M10" s="179"/>
      <c r="N10" s="179" t="s">
        <v>154</v>
      </c>
      <c r="O10" s="179"/>
      <c r="P10" s="179" t="s">
        <v>155</v>
      </c>
      <c r="Q10" s="181"/>
      <c r="R10" s="182" t="s">
        <v>156</v>
      </c>
      <c r="S10" s="183"/>
    </row>
    <row r="11" spans="1:19" s="38" customFormat="1" ht="13.5" thickBot="1">
      <c r="A11" s="140" t="s">
        <v>1</v>
      </c>
      <c r="B11" s="141" t="s">
        <v>2</v>
      </c>
      <c r="C11" s="141" t="s">
        <v>36</v>
      </c>
      <c r="D11" s="141" t="s">
        <v>3</v>
      </c>
      <c r="E11" s="142" t="s">
        <v>4</v>
      </c>
      <c r="F11" s="143" t="s">
        <v>5</v>
      </c>
      <c r="G11" s="144" t="s">
        <v>6</v>
      </c>
      <c r="H11" s="119" t="s">
        <v>5</v>
      </c>
      <c r="I11" s="120" t="s">
        <v>6</v>
      </c>
      <c r="J11" s="119" t="s">
        <v>5</v>
      </c>
      <c r="K11" s="120" t="s">
        <v>6</v>
      </c>
      <c r="L11" s="119" t="s">
        <v>5</v>
      </c>
      <c r="M11" s="120" t="s">
        <v>6</v>
      </c>
      <c r="N11" s="119" t="s">
        <v>5</v>
      </c>
      <c r="O11" s="120" t="s">
        <v>6</v>
      </c>
      <c r="P11" s="119" t="s">
        <v>5</v>
      </c>
      <c r="Q11" s="120" t="s">
        <v>6</v>
      </c>
      <c r="R11" s="121" t="s">
        <v>5</v>
      </c>
      <c r="S11" s="122" t="s">
        <v>6</v>
      </c>
    </row>
    <row r="12" spans="1:19" s="58" customFormat="1" ht="13.5" thickTop="1">
      <c r="A12" s="123">
        <v>1</v>
      </c>
      <c r="B12" s="124">
        <f>LOOKUP($A12,Quantities!$T5:$T20,Quantities!AE5:AE20)</f>
        <v>407</v>
      </c>
      <c r="C12" s="124">
        <f>LOOKUP($A12,Quantities!$T5:$T20,Quantities!AF5:AF20)</f>
        <v>1375</v>
      </c>
      <c r="D12" s="124" t="str">
        <f>LOOKUP($A12,Quantities!$T5:$T20,Quantities!AG5:AG20)</f>
        <v>Gal</v>
      </c>
      <c r="E12" s="124" t="str">
        <f>LOOKUP($A12,Quantities!$T5:$T20,Quantities!AR5:AR20)</f>
        <v>Bituminous Tack Coat applied at 0.05 gallons per square yard</v>
      </c>
      <c r="F12" s="125">
        <f>LOOKUP($A12,Quantities!$T5:$T20,Quantities!AQ5:AQ20)</f>
        <v>2.1</v>
      </c>
      <c r="G12" s="126">
        <f>IF(C12="",0,F12*C12)</f>
        <v>2887.5</v>
      </c>
      <c r="H12" s="151"/>
      <c r="I12" s="117">
        <f aca="true" t="shared" si="0" ref="I12:I27">IF($C12="",0,H12*$C12)</f>
        <v>0</v>
      </c>
      <c r="J12" s="151"/>
      <c r="K12" s="117">
        <f aca="true" t="shared" si="1" ref="K12:K27">IF($C12="",0,J12*$C12)</f>
        <v>0</v>
      </c>
      <c r="L12" s="151"/>
      <c r="M12" s="117">
        <f aca="true" t="shared" si="2" ref="M12:M27">IF($C12="",0,L12*$C12)</f>
        <v>0</v>
      </c>
      <c r="N12" s="151"/>
      <c r="O12" s="117">
        <f aca="true" t="shared" si="3" ref="O12:O27">IF($C12="",0,N12*$C12)</f>
        <v>0</v>
      </c>
      <c r="P12" s="151"/>
      <c r="Q12" s="117">
        <f aca="true" t="shared" si="4" ref="Q12:Q27">IF($C12="",0,P12*$C12)</f>
        <v>0</v>
      </c>
      <c r="R12" s="148"/>
      <c r="S12" s="118">
        <f aca="true" t="shared" si="5" ref="S12:S27">IF($C12="",0,R12*$C12)</f>
        <v>0</v>
      </c>
    </row>
    <row r="13" spans="1:19" s="58" customFormat="1" ht="38.25">
      <c r="A13" s="127">
        <f>A12+1</f>
        <v>2</v>
      </c>
      <c r="B13" s="128">
        <f>LOOKUP($A13,Quantities!$T5:$T20,Quantities!AE5:AE20)</f>
        <v>823</v>
      </c>
      <c r="C13" s="128">
        <f>LOOKUP($A13,Quantities!$T5:$T20,Quantities!AF5:AF20)</f>
        <v>1146</v>
      </c>
      <c r="D13" s="128" t="str">
        <f>LOOKUP($A13,Quantities!$T5:$T20,Quantities!AG5:AG20)</f>
        <v>C.Y.</v>
      </c>
      <c r="E13" s="128" t="str">
        <f>LOOKUP($A13,Quantities!$T5:$T20,Quantities!AR5:AR20)</f>
        <v>Asphalt concrete surface course PG 64-22, Type 1 (823) applied, spread and compacted at the average depth of 1.5 inches</v>
      </c>
      <c r="F13" s="129">
        <f>LOOKUP($A13,Quantities!$T5:$T20,Quantities!AQ5:AQ20)</f>
        <v>185</v>
      </c>
      <c r="G13" s="130">
        <f>IF(C13="",0,F13*C13)</f>
        <v>212010</v>
      </c>
      <c r="H13" s="152"/>
      <c r="I13" s="115">
        <f t="shared" si="0"/>
        <v>0</v>
      </c>
      <c r="J13" s="152"/>
      <c r="K13" s="115">
        <f t="shared" si="1"/>
        <v>0</v>
      </c>
      <c r="L13" s="152"/>
      <c r="M13" s="115">
        <f t="shared" si="2"/>
        <v>0</v>
      </c>
      <c r="N13" s="152"/>
      <c r="O13" s="115">
        <f t="shared" si="3"/>
        <v>0</v>
      </c>
      <c r="P13" s="152"/>
      <c r="Q13" s="115">
        <f t="shared" si="4"/>
        <v>0</v>
      </c>
      <c r="R13" s="149"/>
      <c r="S13" s="113">
        <f t="shared" si="5"/>
        <v>0</v>
      </c>
    </row>
    <row r="14" spans="1:19" s="58" customFormat="1" ht="12.75">
      <c r="A14" s="127">
        <f>A13+1</f>
        <v>3</v>
      </c>
      <c r="B14" s="128">
        <f>LOOKUP($A14,Quantities!$T5:$T20,Quantities!AE5:AE20)</f>
        <v>254</v>
      </c>
      <c r="C14" s="128">
        <f>LOOKUP($A14,Quantities!$T5:$T20,Quantities!AF5:AF20)</f>
        <v>245</v>
      </c>
      <c r="D14" s="128" t="str">
        <f>LOOKUP($A14,Quantities!$T5:$T20,Quantities!AG5:AG20)</f>
        <v>S.Y.</v>
      </c>
      <c r="E14" s="128" t="str">
        <f>LOOKUP($A14,Quantities!$T5:$T20,Quantities!AR5:AR20)</f>
        <v>Pavement Planing (20' length including radius)</v>
      </c>
      <c r="F14" s="129">
        <f>LOOKUP($A14,Quantities!$T5:$T20,Quantities!AQ5:AQ20)</f>
        <v>12</v>
      </c>
      <c r="G14" s="130">
        <f aca="true" t="shared" si="6" ref="G14:G27">IF(C14="",0,F14*C14)</f>
        <v>2940</v>
      </c>
      <c r="H14" s="152"/>
      <c r="I14" s="115">
        <f t="shared" si="0"/>
        <v>0</v>
      </c>
      <c r="J14" s="152"/>
      <c r="K14" s="115">
        <f t="shared" si="1"/>
        <v>0</v>
      </c>
      <c r="L14" s="152"/>
      <c r="M14" s="115">
        <f t="shared" si="2"/>
        <v>0</v>
      </c>
      <c r="N14" s="152"/>
      <c r="O14" s="115">
        <f t="shared" si="3"/>
        <v>0</v>
      </c>
      <c r="P14" s="152"/>
      <c r="Q14" s="115">
        <f t="shared" si="4"/>
        <v>0</v>
      </c>
      <c r="R14" s="149"/>
      <c r="S14" s="113">
        <f t="shared" si="5"/>
        <v>0</v>
      </c>
    </row>
    <row r="15" spans="1:19" s="59" customFormat="1" ht="12.75">
      <c r="A15" s="127">
        <f aca="true" t="shared" si="7" ref="A15:A27">A14+1</f>
        <v>4</v>
      </c>
      <c r="B15" s="128">
        <f>LOOKUP($A15,Quantities!$T5:$T20,Quantities!AE5:AE20)</f>
        <v>614</v>
      </c>
      <c r="C15" s="128">
        <f>LOOKUP($A15,Quantities!$T5:$T20,Quantities!AF5:AF20)</f>
        <v>1</v>
      </c>
      <c r="D15" s="128" t="str">
        <f>LOOKUP($A15,Quantities!$T5:$T20,Quantities!AG5:AG20)</f>
        <v>L.S.</v>
      </c>
      <c r="E15" s="128" t="str">
        <f>LOOKUP($A15,Quantities!$T5:$T20,Quantities!AR5:AR20)</f>
        <v>Maintaining Traffic</v>
      </c>
      <c r="F15" s="129">
        <f>LOOKUP($A15,Quantities!$T5:$T20,Quantities!AQ5:AQ20)</f>
        <v>3000</v>
      </c>
      <c r="G15" s="130">
        <f t="shared" si="6"/>
        <v>3000</v>
      </c>
      <c r="H15" s="152"/>
      <c r="I15" s="115">
        <f t="shared" si="0"/>
        <v>0</v>
      </c>
      <c r="J15" s="152"/>
      <c r="K15" s="115">
        <f t="shared" si="1"/>
        <v>0</v>
      </c>
      <c r="L15" s="152"/>
      <c r="M15" s="115">
        <f t="shared" si="2"/>
        <v>0</v>
      </c>
      <c r="N15" s="152"/>
      <c r="O15" s="115">
        <f t="shared" si="3"/>
        <v>0</v>
      </c>
      <c r="P15" s="152"/>
      <c r="Q15" s="115">
        <f t="shared" si="4"/>
        <v>0</v>
      </c>
      <c r="R15" s="149"/>
      <c r="S15" s="113">
        <f t="shared" si="5"/>
        <v>0</v>
      </c>
    </row>
    <row r="16" spans="1:19" s="58" customFormat="1" ht="12.75">
      <c r="A16" s="127">
        <f t="shared" si="7"/>
        <v>5</v>
      </c>
      <c r="B16" s="128">
        <f>LOOKUP($A16,Quantities!$T5:$T20,Quantities!AE5:AE20)</f>
        <v>624</v>
      </c>
      <c r="C16" s="128">
        <f>LOOKUP($A16,Quantities!$T5:$T20,Quantities!AF5:AF20)</f>
        <v>1</v>
      </c>
      <c r="D16" s="128" t="str">
        <f>LOOKUP($A16,Quantities!$T5:$T20,Quantities!AG5:AG20)</f>
        <v>L.S.</v>
      </c>
      <c r="E16" s="128" t="str">
        <f>LOOKUP($A16,Quantities!$T5:$T20,Quantities!AR5:AR20)</f>
        <v>Mobilization</v>
      </c>
      <c r="F16" s="129">
        <f>LOOKUP($A16,Quantities!$T5:$T20,Quantities!AQ5:AQ20)</f>
        <v>1500</v>
      </c>
      <c r="G16" s="130">
        <f t="shared" si="6"/>
        <v>1500</v>
      </c>
      <c r="H16" s="152"/>
      <c r="I16" s="115">
        <f t="shared" si="0"/>
        <v>0</v>
      </c>
      <c r="J16" s="152"/>
      <c r="K16" s="115">
        <f t="shared" si="1"/>
        <v>0</v>
      </c>
      <c r="L16" s="152"/>
      <c r="M16" s="115">
        <f t="shared" si="2"/>
        <v>0</v>
      </c>
      <c r="N16" s="152"/>
      <c r="O16" s="115">
        <f t="shared" si="3"/>
        <v>0</v>
      </c>
      <c r="P16" s="152"/>
      <c r="Q16" s="115">
        <f t="shared" si="4"/>
        <v>0</v>
      </c>
      <c r="R16" s="149"/>
      <c r="S16" s="113">
        <f t="shared" si="5"/>
        <v>0</v>
      </c>
    </row>
    <row r="17" spans="1:19" s="58" customFormat="1" ht="12.75">
      <c r="A17" s="127">
        <f t="shared" si="7"/>
        <v>6</v>
      </c>
      <c r="B17" s="128">
        <f>LOOKUP($A17,Quantities!$T5:$T20,Quantities!AE5:AE20)</f>
        <v>103.05</v>
      </c>
      <c r="C17" s="128">
        <f>LOOKUP($A17,Quantities!$T5:$T20,Quantities!AF5:AF20)</f>
        <v>1</v>
      </c>
      <c r="D17" s="128" t="str">
        <f>LOOKUP($A17,Quantities!$T5:$T20,Quantities!AG5:AG20)</f>
        <v>L.S.</v>
      </c>
      <c r="E17" s="128" t="str">
        <f>LOOKUP($A17,Quantities!$T5:$T20,Quantities!AR5:AR20)</f>
        <v>Contract Performance &amp; Payment Bond</v>
      </c>
      <c r="F17" s="129">
        <f>LOOKUP($A17,Quantities!$T5:$T20,Quantities!AQ5:AQ20)</f>
        <v>1202.5</v>
      </c>
      <c r="G17" s="130">
        <f t="shared" si="6"/>
        <v>1202.5</v>
      </c>
      <c r="H17" s="152"/>
      <c r="I17" s="115">
        <f t="shared" si="0"/>
        <v>0</v>
      </c>
      <c r="J17" s="152"/>
      <c r="K17" s="115">
        <f t="shared" si="1"/>
        <v>0</v>
      </c>
      <c r="L17" s="152"/>
      <c r="M17" s="115">
        <f t="shared" si="2"/>
        <v>0</v>
      </c>
      <c r="N17" s="152"/>
      <c r="O17" s="115">
        <f t="shared" si="3"/>
        <v>0</v>
      </c>
      <c r="P17" s="152"/>
      <c r="Q17" s="115">
        <f t="shared" si="4"/>
        <v>0</v>
      </c>
      <c r="R17" s="149"/>
      <c r="S17" s="113">
        <f t="shared" si="5"/>
        <v>0</v>
      </c>
    </row>
    <row r="18" spans="1:19" s="58" customFormat="1" ht="12.75">
      <c r="A18" s="127">
        <f t="shared" si="7"/>
        <v>7</v>
      </c>
      <c r="B18" s="128">
        <f>LOOKUP($A18,Quantities!$T5:$T20,Quantities!AE5:AE20)</f>
      </c>
      <c r="C18" s="128">
        <f>LOOKUP($A18,Quantities!$T5:$T20,Quantities!AF5:AF20)</f>
      </c>
      <c r="D18" s="128">
        <f>LOOKUP($A18,Quantities!$T5:$T20,Quantities!AG5:AG20)</f>
      </c>
      <c r="E18" s="128">
        <f>LOOKUP($A18,Quantities!$T5:$T20,Quantities!AR5:AR20)</f>
      </c>
      <c r="F18" s="129">
        <f>LOOKUP($A18,Quantities!$T5:$T20,Quantities!AQ5:AQ20)</f>
        <v>0</v>
      </c>
      <c r="G18" s="130">
        <f t="shared" si="6"/>
        <v>0</v>
      </c>
      <c r="H18" s="152"/>
      <c r="I18" s="115">
        <f t="shared" si="0"/>
        <v>0</v>
      </c>
      <c r="J18" s="152"/>
      <c r="K18" s="115">
        <f t="shared" si="1"/>
        <v>0</v>
      </c>
      <c r="L18" s="152"/>
      <c r="M18" s="115">
        <f t="shared" si="2"/>
        <v>0</v>
      </c>
      <c r="N18" s="152"/>
      <c r="O18" s="115">
        <f t="shared" si="3"/>
        <v>0</v>
      </c>
      <c r="P18" s="152"/>
      <c r="Q18" s="115">
        <f t="shared" si="4"/>
        <v>0</v>
      </c>
      <c r="R18" s="149"/>
      <c r="S18" s="113">
        <f t="shared" si="5"/>
        <v>0</v>
      </c>
    </row>
    <row r="19" spans="1:19" s="58" customFormat="1" ht="12.75">
      <c r="A19" s="127">
        <f t="shared" si="7"/>
        <v>8</v>
      </c>
      <c r="B19" s="128">
        <f>LOOKUP($A19,Quantities!$T5:$T20,Quantities!AE5:AE20)</f>
      </c>
      <c r="C19" s="128">
        <f>LOOKUP($A19,Quantities!$T5:$T20,Quantities!AF5:AF20)</f>
      </c>
      <c r="D19" s="128">
        <f>LOOKUP($A19,Quantities!$T5:$T20,Quantities!AG5:AG20)</f>
      </c>
      <c r="E19" s="128">
        <f>LOOKUP($A19,Quantities!$T5:$T20,Quantities!AR5:AR20)</f>
      </c>
      <c r="F19" s="129">
        <f>LOOKUP($A19,Quantities!$T5:$T20,Quantities!AQ5:AQ20)</f>
        <v>0</v>
      </c>
      <c r="G19" s="130">
        <f t="shared" si="6"/>
        <v>0</v>
      </c>
      <c r="H19" s="152"/>
      <c r="I19" s="115">
        <f t="shared" si="0"/>
        <v>0</v>
      </c>
      <c r="J19" s="152"/>
      <c r="K19" s="115">
        <f t="shared" si="1"/>
        <v>0</v>
      </c>
      <c r="L19" s="152"/>
      <c r="M19" s="115">
        <f t="shared" si="2"/>
        <v>0</v>
      </c>
      <c r="N19" s="152"/>
      <c r="O19" s="115">
        <f t="shared" si="3"/>
        <v>0</v>
      </c>
      <c r="P19" s="152"/>
      <c r="Q19" s="115">
        <f t="shared" si="4"/>
        <v>0</v>
      </c>
      <c r="R19" s="149"/>
      <c r="S19" s="113">
        <f t="shared" si="5"/>
        <v>0</v>
      </c>
    </row>
    <row r="20" spans="1:19" s="58" customFormat="1" ht="12.75">
      <c r="A20" s="127">
        <f t="shared" si="7"/>
        <v>9</v>
      </c>
      <c r="B20" s="128">
        <f>LOOKUP($A20,Quantities!$T5:$T20,Quantities!AE5:AE20)</f>
      </c>
      <c r="C20" s="128">
        <f>LOOKUP($A20,Quantities!$T5:$T20,Quantities!AF5:AF20)</f>
      </c>
      <c r="D20" s="128">
        <f>LOOKUP($A20,Quantities!$T5:$T20,Quantities!AG5:AG20)</f>
      </c>
      <c r="E20" s="128">
        <f>LOOKUP($A20,Quantities!$T5:$T20,Quantities!AR5:AR20)</f>
      </c>
      <c r="F20" s="129">
        <f>LOOKUP($A20,Quantities!$T5:$T20,Quantities!AQ5:AQ20)</f>
        <v>0</v>
      </c>
      <c r="G20" s="130">
        <f t="shared" si="6"/>
        <v>0</v>
      </c>
      <c r="H20" s="152"/>
      <c r="I20" s="115">
        <f t="shared" si="0"/>
        <v>0</v>
      </c>
      <c r="J20" s="152"/>
      <c r="K20" s="115">
        <f t="shared" si="1"/>
        <v>0</v>
      </c>
      <c r="L20" s="152"/>
      <c r="M20" s="115">
        <f t="shared" si="2"/>
        <v>0</v>
      </c>
      <c r="N20" s="152"/>
      <c r="O20" s="115">
        <f t="shared" si="3"/>
        <v>0</v>
      </c>
      <c r="P20" s="152"/>
      <c r="Q20" s="115">
        <f t="shared" si="4"/>
        <v>0</v>
      </c>
      <c r="R20" s="149"/>
      <c r="S20" s="113">
        <f t="shared" si="5"/>
        <v>0</v>
      </c>
    </row>
    <row r="21" spans="1:19" s="58" customFormat="1" ht="12.75">
      <c r="A21" s="127">
        <f t="shared" si="7"/>
        <v>10</v>
      </c>
      <c r="B21" s="128">
        <f>LOOKUP($A21,Quantities!$T5:$T20,Quantities!AE5:AE20)</f>
      </c>
      <c r="C21" s="128">
        <f>LOOKUP($A21,Quantities!$T5:$T20,Quantities!AF5:AF20)</f>
      </c>
      <c r="D21" s="128">
        <f>LOOKUP($A21,Quantities!$T5:$T20,Quantities!AG5:AG20)</f>
      </c>
      <c r="E21" s="128">
        <f>LOOKUP($A21,Quantities!$T5:$T20,Quantities!AR5:AR20)</f>
      </c>
      <c r="F21" s="129">
        <f>LOOKUP($A21,Quantities!$T5:$T20,Quantities!AQ5:AQ20)</f>
        <v>0</v>
      </c>
      <c r="G21" s="130">
        <f t="shared" si="6"/>
        <v>0</v>
      </c>
      <c r="H21" s="152"/>
      <c r="I21" s="115">
        <f t="shared" si="0"/>
        <v>0</v>
      </c>
      <c r="J21" s="152"/>
      <c r="K21" s="115">
        <f t="shared" si="1"/>
        <v>0</v>
      </c>
      <c r="L21" s="152"/>
      <c r="M21" s="115">
        <f t="shared" si="2"/>
        <v>0</v>
      </c>
      <c r="N21" s="152"/>
      <c r="O21" s="115">
        <f t="shared" si="3"/>
        <v>0</v>
      </c>
      <c r="P21" s="152"/>
      <c r="Q21" s="115">
        <f t="shared" si="4"/>
        <v>0</v>
      </c>
      <c r="R21" s="149"/>
      <c r="S21" s="113">
        <f t="shared" si="5"/>
        <v>0</v>
      </c>
    </row>
    <row r="22" spans="1:19" s="58" customFormat="1" ht="12.75">
      <c r="A22" s="127">
        <f t="shared" si="7"/>
        <v>11</v>
      </c>
      <c r="B22" s="128">
        <f>LOOKUP($A22,Quantities!$T5:$T20,Quantities!AE5:AE20)</f>
      </c>
      <c r="C22" s="128">
        <f>LOOKUP($A22,Quantities!$T5:$T20,Quantities!AF5:AF20)</f>
      </c>
      <c r="D22" s="128">
        <f>LOOKUP($A22,Quantities!$T5:$T20,Quantities!AG5:AG20)</f>
      </c>
      <c r="E22" s="128">
        <f>LOOKUP($A22,Quantities!$T5:$T20,Quantities!AR5:AR20)</f>
      </c>
      <c r="F22" s="129">
        <f>LOOKUP($A22,Quantities!$T5:$T20,Quantities!AQ5:AQ20)</f>
        <v>0</v>
      </c>
      <c r="G22" s="130">
        <f t="shared" si="6"/>
        <v>0</v>
      </c>
      <c r="H22" s="152"/>
      <c r="I22" s="115">
        <f t="shared" si="0"/>
        <v>0</v>
      </c>
      <c r="J22" s="152"/>
      <c r="K22" s="115">
        <f t="shared" si="1"/>
        <v>0</v>
      </c>
      <c r="L22" s="152"/>
      <c r="M22" s="115">
        <f t="shared" si="2"/>
        <v>0</v>
      </c>
      <c r="N22" s="152"/>
      <c r="O22" s="115">
        <f t="shared" si="3"/>
        <v>0</v>
      </c>
      <c r="P22" s="152"/>
      <c r="Q22" s="115">
        <f t="shared" si="4"/>
        <v>0</v>
      </c>
      <c r="R22" s="149"/>
      <c r="S22" s="113">
        <f t="shared" si="5"/>
        <v>0</v>
      </c>
    </row>
    <row r="23" spans="1:19" s="58" customFormat="1" ht="12.75">
      <c r="A23" s="127">
        <f t="shared" si="7"/>
        <v>12</v>
      </c>
      <c r="B23" s="128">
        <f>LOOKUP($A23,Quantities!$T5:$T20,Quantities!AE5:AE20)</f>
      </c>
      <c r="C23" s="128">
        <f>LOOKUP($A23,Quantities!$T5:$T20,Quantities!AF5:AF20)</f>
      </c>
      <c r="D23" s="128">
        <f>LOOKUP($A23,Quantities!$T5:$T20,Quantities!AG5:AG20)</f>
      </c>
      <c r="E23" s="128">
        <f>LOOKUP($A23,Quantities!$T5:$T20,Quantities!AR5:AR20)</f>
      </c>
      <c r="F23" s="129">
        <f>LOOKUP($A23,Quantities!$T5:$T20,Quantities!AQ5:AQ20)</f>
        <v>0</v>
      </c>
      <c r="G23" s="130">
        <f t="shared" si="6"/>
        <v>0</v>
      </c>
      <c r="H23" s="152"/>
      <c r="I23" s="115">
        <f t="shared" si="0"/>
        <v>0</v>
      </c>
      <c r="J23" s="152"/>
      <c r="K23" s="115">
        <f t="shared" si="1"/>
        <v>0</v>
      </c>
      <c r="L23" s="152"/>
      <c r="M23" s="115">
        <f t="shared" si="2"/>
        <v>0</v>
      </c>
      <c r="N23" s="152"/>
      <c r="O23" s="115">
        <f t="shared" si="3"/>
        <v>0</v>
      </c>
      <c r="P23" s="152"/>
      <c r="Q23" s="115">
        <f t="shared" si="4"/>
        <v>0</v>
      </c>
      <c r="R23" s="149"/>
      <c r="S23" s="113">
        <f t="shared" si="5"/>
        <v>0</v>
      </c>
    </row>
    <row r="24" spans="1:19" s="58" customFormat="1" ht="12.75">
      <c r="A24" s="127">
        <f t="shared" si="7"/>
        <v>13</v>
      </c>
      <c r="B24" s="128">
        <f>LOOKUP($A24,Quantities!$T5:$T20,Quantities!AE5:AE20)</f>
      </c>
      <c r="C24" s="128">
        <f>LOOKUP($A24,Quantities!$T5:$T20,Quantities!AF5:AF20)</f>
      </c>
      <c r="D24" s="128">
        <f>LOOKUP($A24,Quantities!$T5:$T20,Quantities!AG5:AG20)</f>
      </c>
      <c r="E24" s="128">
        <f>LOOKUP($A24,Quantities!$T5:$T20,Quantities!AR5:AR20)</f>
      </c>
      <c r="F24" s="129">
        <f>LOOKUP($A24,Quantities!$T5:$T20,Quantities!AQ5:AQ20)</f>
        <v>0</v>
      </c>
      <c r="G24" s="130">
        <f t="shared" si="6"/>
        <v>0</v>
      </c>
      <c r="H24" s="152"/>
      <c r="I24" s="115">
        <f t="shared" si="0"/>
        <v>0</v>
      </c>
      <c r="J24" s="152"/>
      <c r="K24" s="115">
        <f t="shared" si="1"/>
        <v>0</v>
      </c>
      <c r="L24" s="152"/>
      <c r="M24" s="115">
        <f t="shared" si="2"/>
        <v>0</v>
      </c>
      <c r="N24" s="152"/>
      <c r="O24" s="115">
        <f t="shared" si="3"/>
        <v>0</v>
      </c>
      <c r="P24" s="152"/>
      <c r="Q24" s="115">
        <f t="shared" si="4"/>
        <v>0</v>
      </c>
      <c r="R24" s="149"/>
      <c r="S24" s="113">
        <f t="shared" si="5"/>
        <v>0</v>
      </c>
    </row>
    <row r="25" spans="1:19" s="58" customFormat="1" ht="12.75">
      <c r="A25" s="127">
        <f t="shared" si="7"/>
        <v>14</v>
      </c>
      <c r="B25" s="128">
        <f>LOOKUP($A25,Quantities!$T5:$T20,Quantities!AE5:AE20)</f>
      </c>
      <c r="C25" s="128">
        <f>LOOKUP($A25,Quantities!$T5:$T20,Quantities!AF5:AF20)</f>
      </c>
      <c r="D25" s="128">
        <f>LOOKUP($A25,Quantities!$T5:$T20,Quantities!AG5:AG20)</f>
      </c>
      <c r="E25" s="128">
        <f>LOOKUP($A25,Quantities!$T5:$T20,Quantities!AR5:AR20)</f>
      </c>
      <c r="F25" s="129">
        <f>LOOKUP($A25,Quantities!$T5:$T20,Quantities!AQ5:AQ20)</f>
        <v>0</v>
      </c>
      <c r="G25" s="130">
        <f t="shared" si="6"/>
        <v>0</v>
      </c>
      <c r="H25" s="152"/>
      <c r="I25" s="115">
        <f t="shared" si="0"/>
        <v>0</v>
      </c>
      <c r="J25" s="152"/>
      <c r="K25" s="115">
        <f t="shared" si="1"/>
        <v>0</v>
      </c>
      <c r="L25" s="152"/>
      <c r="M25" s="115">
        <f t="shared" si="2"/>
        <v>0</v>
      </c>
      <c r="N25" s="152"/>
      <c r="O25" s="115">
        <f t="shared" si="3"/>
        <v>0</v>
      </c>
      <c r="P25" s="152"/>
      <c r="Q25" s="115">
        <f t="shared" si="4"/>
        <v>0</v>
      </c>
      <c r="R25" s="149"/>
      <c r="S25" s="113">
        <f t="shared" si="5"/>
        <v>0</v>
      </c>
    </row>
    <row r="26" spans="1:19" s="59" customFormat="1" ht="12.75">
      <c r="A26" s="127">
        <f t="shared" si="7"/>
        <v>15</v>
      </c>
      <c r="B26" s="128">
        <f>LOOKUP($A26,Quantities!$T5:$T20,Quantities!AE5:AE20)</f>
      </c>
      <c r="C26" s="128">
        <f>LOOKUP($A26,Quantities!$T5:$T20,Quantities!AF5:AF20)</f>
      </c>
      <c r="D26" s="128">
        <f>LOOKUP($A26,Quantities!$T5:$T20,Quantities!AG5:AG20)</f>
      </c>
      <c r="E26" s="128">
        <f>LOOKUP($A26,Quantities!$T5:$T20,Quantities!AR5:AR20)</f>
      </c>
      <c r="F26" s="129">
        <f>LOOKUP($A26,Quantities!$T5:$T20,Quantities!AQ5:AQ20)</f>
        <v>0</v>
      </c>
      <c r="G26" s="130">
        <f t="shared" si="6"/>
        <v>0</v>
      </c>
      <c r="H26" s="152"/>
      <c r="I26" s="115">
        <f t="shared" si="0"/>
        <v>0</v>
      </c>
      <c r="J26" s="152"/>
      <c r="K26" s="115">
        <f t="shared" si="1"/>
        <v>0</v>
      </c>
      <c r="L26" s="152"/>
      <c r="M26" s="115">
        <f t="shared" si="2"/>
        <v>0</v>
      </c>
      <c r="N26" s="152"/>
      <c r="O26" s="115">
        <f t="shared" si="3"/>
        <v>0</v>
      </c>
      <c r="P26" s="152"/>
      <c r="Q26" s="115">
        <f t="shared" si="4"/>
        <v>0</v>
      </c>
      <c r="R26" s="149"/>
      <c r="S26" s="113">
        <f t="shared" si="5"/>
        <v>0</v>
      </c>
    </row>
    <row r="27" spans="1:19" s="59" customFormat="1" ht="12.75">
      <c r="A27" s="127">
        <f t="shared" si="7"/>
        <v>16</v>
      </c>
      <c r="B27" s="128">
        <f>LOOKUP($A27,Quantities!$T5:$T20,Quantities!AE5:AE20)</f>
      </c>
      <c r="C27" s="128">
        <f>LOOKUP($A27,Quantities!$T5:$T20,Quantities!AF5:AF20)</f>
      </c>
      <c r="D27" s="128">
        <f>LOOKUP($A27,Quantities!$T5:$T20,Quantities!AG5:AG20)</f>
      </c>
      <c r="E27" s="128">
        <f>LOOKUP($A27,Quantities!$T5:$T20,Quantities!AR5:AR20)</f>
      </c>
      <c r="F27" s="129">
        <f>LOOKUP($A27,Quantities!$T5:$T20,Quantities!AQ5:AQ20)</f>
        <v>0</v>
      </c>
      <c r="G27" s="130">
        <f t="shared" si="6"/>
        <v>0</v>
      </c>
      <c r="H27" s="152"/>
      <c r="I27" s="115">
        <f t="shared" si="0"/>
        <v>0</v>
      </c>
      <c r="J27" s="152"/>
      <c r="K27" s="115">
        <f t="shared" si="1"/>
        <v>0</v>
      </c>
      <c r="L27" s="152"/>
      <c r="M27" s="115">
        <f t="shared" si="2"/>
        <v>0</v>
      </c>
      <c r="N27" s="152"/>
      <c r="O27" s="115">
        <f t="shared" si="3"/>
        <v>0</v>
      </c>
      <c r="P27" s="152"/>
      <c r="Q27" s="115">
        <f t="shared" si="4"/>
        <v>0</v>
      </c>
      <c r="R27" s="149"/>
      <c r="S27" s="113">
        <f t="shared" si="5"/>
        <v>0</v>
      </c>
    </row>
    <row r="28" spans="1:19" ht="13.5" thickBot="1">
      <c r="A28" s="131"/>
      <c r="B28" s="132"/>
      <c r="C28" s="132"/>
      <c r="D28" s="132"/>
      <c r="E28" s="133" t="s">
        <v>129</v>
      </c>
      <c r="F28" s="134"/>
      <c r="G28" s="135">
        <f>SUM(G12:G27)</f>
        <v>223540</v>
      </c>
      <c r="H28" s="153"/>
      <c r="I28" s="116">
        <f>SUM(I12:I27)</f>
        <v>0</v>
      </c>
      <c r="J28" s="153"/>
      <c r="K28" s="116">
        <f>SUM(K12:K27)</f>
        <v>0</v>
      </c>
      <c r="L28" s="153"/>
      <c r="M28" s="116">
        <f>SUM(M12:M27)</f>
        <v>0</v>
      </c>
      <c r="N28" s="153"/>
      <c r="O28" s="116">
        <f>SUM(O12:O27)</f>
        <v>0</v>
      </c>
      <c r="P28" s="153"/>
      <c r="Q28" s="116">
        <f>SUM(Q12:Q27)</f>
        <v>0</v>
      </c>
      <c r="R28" s="150"/>
      <c r="S28" s="114">
        <f>SUM(S12:S27)</f>
        <v>0</v>
      </c>
    </row>
    <row r="29" ht="11.25" customHeight="1"/>
    <row r="30" spans="1:7" s="44" customFormat="1" ht="12.75">
      <c r="A30" s="43" t="str">
        <f>Quantities!C35</f>
        <v>Road Z b/ Road 14- Road M3</v>
      </c>
      <c r="F30" s="45"/>
      <c r="G30" s="45"/>
    </row>
    <row r="31" spans="1:7" s="38" customFormat="1" ht="12.75">
      <c r="A31" s="44" t="str">
        <f>Quantities!AB53</f>
        <v>Length:  9900 Feet or 1.88 Mile(s)</v>
      </c>
      <c r="B31" s="46"/>
      <c r="C31" s="44"/>
      <c r="D31" s="47"/>
      <c r="F31" s="48"/>
      <c r="G31" s="48"/>
    </row>
    <row r="32" spans="1:7" s="38" customFormat="1" ht="12.75">
      <c r="A32" s="44" t="str">
        <f>Quantities!AB54</f>
        <v>Width:  19 Feet     (Approx. 21020 S.Y. including radius and driveway work)</v>
      </c>
      <c r="B32" s="44"/>
      <c r="C32" s="46"/>
      <c r="D32" s="49"/>
      <c r="F32" s="48"/>
      <c r="G32" s="48"/>
    </row>
    <row r="33" spans="1:7" s="38" customFormat="1" ht="13.5" thickBot="1">
      <c r="A33" s="44" t="str">
        <f>Quantities!AB55</f>
        <v>Type: ODOT Spec 823 </v>
      </c>
      <c r="B33" s="50"/>
      <c r="C33" s="50"/>
      <c r="D33" s="50"/>
      <c r="F33" s="48"/>
      <c r="G33" s="48"/>
    </row>
    <row r="34" spans="1:19" s="38" customFormat="1" ht="12.75">
      <c r="A34" s="136"/>
      <c r="B34" s="137"/>
      <c r="C34" s="138"/>
      <c r="D34" s="138"/>
      <c r="E34" s="139"/>
      <c r="F34" s="177" t="s">
        <v>150</v>
      </c>
      <c r="G34" s="178"/>
      <c r="H34" s="180" t="s">
        <v>151</v>
      </c>
      <c r="I34" s="181"/>
      <c r="J34" s="179" t="s">
        <v>152</v>
      </c>
      <c r="K34" s="179"/>
      <c r="L34" s="179" t="s">
        <v>153</v>
      </c>
      <c r="M34" s="179"/>
      <c r="N34" s="179" t="s">
        <v>154</v>
      </c>
      <c r="O34" s="179"/>
      <c r="P34" s="179" t="s">
        <v>155</v>
      </c>
      <c r="Q34" s="181"/>
      <c r="R34" s="182" t="s">
        <v>156</v>
      </c>
      <c r="S34" s="183"/>
    </row>
    <row r="35" spans="1:19" s="38" customFormat="1" ht="13.5" thickBot="1">
      <c r="A35" s="140" t="s">
        <v>1</v>
      </c>
      <c r="B35" s="141" t="s">
        <v>2</v>
      </c>
      <c r="C35" s="141" t="s">
        <v>36</v>
      </c>
      <c r="D35" s="141" t="s">
        <v>3</v>
      </c>
      <c r="E35" s="142" t="s">
        <v>4</v>
      </c>
      <c r="F35" s="143" t="s">
        <v>5</v>
      </c>
      <c r="G35" s="144" t="s">
        <v>6</v>
      </c>
      <c r="H35" s="119" t="s">
        <v>5</v>
      </c>
      <c r="I35" s="120" t="s">
        <v>6</v>
      </c>
      <c r="J35" s="119" t="s">
        <v>5</v>
      </c>
      <c r="K35" s="120" t="s">
        <v>6</v>
      </c>
      <c r="L35" s="119" t="s">
        <v>5</v>
      </c>
      <c r="M35" s="120" t="s">
        <v>6</v>
      </c>
      <c r="N35" s="119" t="s">
        <v>5</v>
      </c>
      <c r="O35" s="120" t="s">
        <v>6</v>
      </c>
      <c r="P35" s="119" t="s">
        <v>5</v>
      </c>
      <c r="Q35" s="120" t="s">
        <v>6</v>
      </c>
      <c r="R35" s="121" t="s">
        <v>5</v>
      </c>
      <c r="S35" s="122" t="s">
        <v>6</v>
      </c>
    </row>
    <row r="36" spans="1:19" s="58" customFormat="1" ht="13.5" thickTop="1">
      <c r="A36" s="123">
        <f>A12</f>
        <v>1</v>
      </c>
      <c r="B36" s="124">
        <f>LOOKUP($A36,Quantities!$T36:$T51,Quantities!AE36:AE51)</f>
        <v>407</v>
      </c>
      <c r="C36" s="124">
        <f>LOOKUP($A36,Quantities!$T36:$T51,Quantities!AF36:AF51)</f>
        <v>1050</v>
      </c>
      <c r="D36" s="124" t="str">
        <f>LOOKUP($A36,Quantities!$T36:$T51,Quantities!AG36:AG51)</f>
        <v>Gal</v>
      </c>
      <c r="E36" s="124" t="str">
        <f>LOOKUP($A36,Quantities!$T36:$T51,Quantities!AR36:AR51)</f>
        <v>Bituminous Tack Coat applied at 0.05 gallons per square yard</v>
      </c>
      <c r="F36" s="125">
        <f>LOOKUP($A36,Quantities!$T36:$T51,Quantities!AQ36:AQ51)</f>
        <v>2.1</v>
      </c>
      <c r="G36" s="126">
        <f>IF(C36="",0,F36*C36)</f>
        <v>2205</v>
      </c>
      <c r="H36" s="151"/>
      <c r="I36" s="117">
        <f aca="true" t="shared" si="8" ref="I36:I51">IF($C36="",0,H36*$C36)</f>
        <v>0</v>
      </c>
      <c r="J36" s="151"/>
      <c r="K36" s="117">
        <f aca="true" t="shared" si="9" ref="K36:K51">IF($C36="",0,J36*$C36)</f>
        <v>0</v>
      </c>
      <c r="L36" s="151"/>
      <c r="M36" s="117">
        <f aca="true" t="shared" si="10" ref="M36:M51">IF($C36="",0,L36*$C36)</f>
        <v>0</v>
      </c>
      <c r="N36" s="151"/>
      <c r="O36" s="117">
        <f aca="true" t="shared" si="11" ref="O36:O51">IF($C36="",0,N36*$C36)</f>
        <v>0</v>
      </c>
      <c r="P36" s="151"/>
      <c r="Q36" s="117">
        <f aca="true" t="shared" si="12" ref="Q36:Q51">IF($C36="",0,P36*$C36)</f>
        <v>0</v>
      </c>
      <c r="R36" s="148"/>
      <c r="S36" s="118">
        <f aca="true" t="shared" si="13" ref="S36:S51">IF($C36="",0,R36*$C36)</f>
        <v>0</v>
      </c>
    </row>
    <row r="37" spans="1:19" s="58" customFormat="1" ht="38.25">
      <c r="A37" s="127">
        <f>A36+1</f>
        <v>2</v>
      </c>
      <c r="B37" s="128">
        <f>LOOKUP($A37,Quantities!$T36:$T51,Quantities!AE36:AE51)</f>
        <v>823</v>
      </c>
      <c r="C37" s="128">
        <f>LOOKUP($A37,Quantities!$T36:$T51,Quantities!AF36:AF51)</f>
        <v>876</v>
      </c>
      <c r="D37" s="128" t="str">
        <f>LOOKUP($A37,Quantities!$T36:$T51,Quantities!AG36:AG51)</f>
        <v>C.Y.</v>
      </c>
      <c r="E37" s="128" t="str">
        <f>LOOKUP($A37,Quantities!$T36:$T51,Quantities!AR36:AR51)</f>
        <v>Asphalt concrete surface course PG 64-22, Type 1 (823) applied, spread and compacted at the average depth of 1.5 inches</v>
      </c>
      <c r="F37" s="129">
        <f>LOOKUP($A37,Quantities!$T36:$T51,Quantities!AQ36:AQ51)</f>
        <v>185</v>
      </c>
      <c r="G37" s="130">
        <f>IF(C37="",0,F37*C37)</f>
        <v>162060</v>
      </c>
      <c r="H37" s="152"/>
      <c r="I37" s="115">
        <f t="shared" si="8"/>
        <v>0</v>
      </c>
      <c r="J37" s="152"/>
      <c r="K37" s="115">
        <f t="shared" si="9"/>
        <v>0</v>
      </c>
      <c r="L37" s="152"/>
      <c r="M37" s="115">
        <f t="shared" si="10"/>
        <v>0</v>
      </c>
      <c r="N37" s="152"/>
      <c r="O37" s="115">
        <f t="shared" si="11"/>
        <v>0</v>
      </c>
      <c r="P37" s="152"/>
      <c r="Q37" s="115">
        <f t="shared" si="12"/>
        <v>0</v>
      </c>
      <c r="R37" s="149"/>
      <c r="S37" s="113">
        <f t="shared" si="13"/>
        <v>0</v>
      </c>
    </row>
    <row r="38" spans="1:19" s="58" customFormat="1" ht="12.75">
      <c r="A38" s="127">
        <f>A37+1</f>
        <v>3</v>
      </c>
      <c r="B38" s="128">
        <f>LOOKUP($A38,Quantities!$T36:$T51,Quantities!AE36:AE51)</f>
        <v>254</v>
      </c>
      <c r="C38" s="128">
        <f>LOOKUP($A38,Quantities!$T36:$T51,Quantities!AF36:AF51)</f>
        <v>80</v>
      </c>
      <c r="D38" s="128" t="str">
        <f>LOOKUP($A38,Quantities!$T36:$T51,Quantities!AG36:AG51)</f>
        <v>S.Y.</v>
      </c>
      <c r="E38" s="128" t="str">
        <f>LOOKUP($A38,Quantities!$T36:$T51,Quantities!AR36:AR51)</f>
        <v>Pavement Planing (20' length including radius)</v>
      </c>
      <c r="F38" s="129">
        <f>LOOKUP($A38,Quantities!$T36:$T51,Quantities!AQ36:AQ51)</f>
        <v>12</v>
      </c>
      <c r="G38" s="130">
        <f aca="true" t="shared" si="14" ref="G38:G51">IF(C38="",0,F38*C38)</f>
        <v>960</v>
      </c>
      <c r="H38" s="152"/>
      <c r="I38" s="115">
        <f t="shared" si="8"/>
        <v>0</v>
      </c>
      <c r="J38" s="152"/>
      <c r="K38" s="115">
        <f t="shared" si="9"/>
        <v>0</v>
      </c>
      <c r="L38" s="152"/>
      <c r="M38" s="115">
        <f t="shared" si="10"/>
        <v>0</v>
      </c>
      <c r="N38" s="152"/>
      <c r="O38" s="115">
        <f t="shared" si="11"/>
        <v>0</v>
      </c>
      <c r="P38" s="152"/>
      <c r="Q38" s="115">
        <f t="shared" si="12"/>
        <v>0</v>
      </c>
      <c r="R38" s="149"/>
      <c r="S38" s="113">
        <f t="shared" si="13"/>
        <v>0</v>
      </c>
    </row>
    <row r="39" spans="1:19" s="59" customFormat="1" ht="12.75">
      <c r="A39" s="127">
        <f aca="true" t="shared" si="15" ref="A39:A51">A38+1</f>
        <v>4</v>
      </c>
      <c r="B39" s="128">
        <f>LOOKUP($A39,Quantities!$T36:$T51,Quantities!AE36:AE51)</f>
        <v>614</v>
      </c>
      <c r="C39" s="128">
        <f>LOOKUP($A39,Quantities!$T36:$T51,Quantities!AF36:AF51)</f>
        <v>1</v>
      </c>
      <c r="D39" s="128" t="str">
        <f>LOOKUP($A39,Quantities!$T36:$T51,Quantities!AG36:AG51)</f>
        <v>L.S.</v>
      </c>
      <c r="E39" s="128" t="str">
        <f>LOOKUP($A39,Quantities!$T36:$T51,Quantities!AR36:AR51)</f>
        <v>Maintaining Traffic</v>
      </c>
      <c r="F39" s="129">
        <f>LOOKUP($A39,Quantities!$T36:$T51,Quantities!AQ36:AQ51)</f>
        <v>3000</v>
      </c>
      <c r="G39" s="130">
        <f t="shared" si="14"/>
        <v>3000</v>
      </c>
      <c r="H39" s="152"/>
      <c r="I39" s="115">
        <f t="shared" si="8"/>
        <v>0</v>
      </c>
      <c r="J39" s="152"/>
      <c r="K39" s="115">
        <f t="shared" si="9"/>
        <v>0</v>
      </c>
      <c r="L39" s="152"/>
      <c r="M39" s="115">
        <f t="shared" si="10"/>
        <v>0</v>
      </c>
      <c r="N39" s="152"/>
      <c r="O39" s="115">
        <f t="shared" si="11"/>
        <v>0</v>
      </c>
      <c r="P39" s="152"/>
      <c r="Q39" s="115">
        <f t="shared" si="12"/>
        <v>0</v>
      </c>
      <c r="R39" s="149"/>
      <c r="S39" s="113">
        <f t="shared" si="13"/>
        <v>0</v>
      </c>
    </row>
    <row r="40" spans="1:19" s="58" customFormat="1" ht="12.75">
      <c r="A40" s="127">
        <f t="shared" si="15"/>
        <v>5</v>
      </c>
      <c r="B40" s="128">
        <f>LOOKUP($A40,Quantities!$T36:$T51,Quantities!AE36:AE51)</f>
        <v>624</v>
      </c>
      <c r="C40" s="128">
        <f>LOOKUP($A40,Quantities!$T36:$T51,Quantities!AF36:AF51)</f>
        <v>1</v>
      </c>
      <c r="D40" s="128" t="str">
        <f>LOOKUP($A40,Quantities!$T36:$T51,Quantities!AG36:AG51)</f>
        <v>L.S.</v>
      </c>
      <c r="E40" s="128" t="str">
        <f>LOOKUP($A40,Quantities!$T36:$T51,Quantities!AR36:AR51)</f>
        <v>Mobilization</v>
      </c>
      <c r="F40" s="129">
        <f>LOOKUP($A40,Quantities!$T36:$T51,Quantities!AQ36:AQ51)</f>
        <v>1500</v>
      </c>
      <c r="G40" s="130">
        <f t="shared" si="14"/>
        <v>1500</v>
      </c>
      <c r="H40" s="152"/>
      <c r="I40" s="115">
        <f t="shared" si="8"/>
        <v>0</v>
      </c>
      <c r="J40" s="152"/>
      <c r="K40" s="115">
        <f t="shared" si="9"/>
        <v>0</v>
      </c>
      <c r="L40" s="152"/>
      <c r="M40" s="115">
        <f t="shared" si="10"/>
        <v>0</v>
      </c>
      <c r="N40" s="152"/>
      <c r="O40" s="115">
        <f t="shared" si="11"/>
        <v>0</v>
      </c>
      <c r="P40" s="152"/>
      <c r="Q40" s="115">
        <f t="shared" si="12"/>
        <v>0</v>
      </c>
      <c r="R40" s="149"/>
      <c r="S40" s="113">
        <f t="shared" si="13"/>
        <v>0</v>
      </c>
    </row>
    <row r="41" spans="1:19" s="58" customFormat="1" ht="12.75">
      <c r="A41" s="127">
        <f t="shared" si="15"/>
        <v>6</v>
      </c>
      <c r="B41" s="128">
        <f>LOOKUP($A41,Quantities!$T36:$T51,Quantities!AE36:AE51)</f>
        <v>103.05</v>
      </c>
      <c r="C41" s="128">
        <f>LOOKUP($A41,Quantities!$T36:$T51,Quantities!AF36:AF51)</f>
        <v>1</v>
      </c>
      <c r="D41" s="128" t="str">
        <f>LOOKUP($A41,Quantities!$T36:$T51,Quantities!AG36:AG51)</f>
        <v>L.S.</v>
      </c>
      <c r="E41" s="128" t="str">
        <f>LOOKUP($A41,Quantities!$T36:$T51,Quantities!AR36:AR51)</f>
        <v>Contract Performance &amp; Payment Bond</v>
      </c>
      <c r="F41" s="129">
        <f>LOOKUP($A41,Quantities!$T36:$T51,Quantities!AQ36:AQ51)</f>
        <v>1000</v>
      </c>
      <c r="G41" s="130">
        <f t="shared" si="14"/>
        <v>1000</v>
      </c>
      <c r="H41" s="152"/>
      <c r="I41" s="115">
        <f t="shared" si="8"/>
        <v>0</v>
      </c>
      <c r="J41" s="152"/>
      <c r="K41" s="115">
        <f t="shared" si="9"/>
        <v>0</v>
      </c>
      <c r="L41" s="152"/>
      <c r="M41" s="115">
        <f t="shared" si="10"/>
        <v>0</v>
      </c>
      <c r="N41" s="152"/>
      <c r="O41" s="115">
        <f t="shared" si="11"/>
        <v>0</v>
      </c>
      <c r="P41" s="152"/>
      <c r="Q41" s="115">
        <f t="shared" si="12"/>
        <v>0</v>
      </c>
      <c r="R41" s="149"/>
      <c r="S41" s="113">
        <f t="shared" si="13"/>
        <v>0</v>
      </c>
    </row>
    <row r="42" spans="1:19" s="58" customFormat="1" ht="12.75">
      <c r="A42" s="127">
        <f t="shared" si="15"/>
        <v>7</v>
      </c>
      <c r="B42" s="128">
        <f>LOOKUP($A42,Quantities!$T36:$T51,Quantities!AE36:AE51)</f>
      </c>
      <c r="C42" s="128">
        <f>LOOKUP($A42,Quantities!$T36:$T51,Quantities!AF36:AF51)</f>
      </c>
      <c r="D42" s="128">
        <f>LOOKUP($A42,Quantities!$T36:$T51,Quantities!AG36:AG51)</f>
      </c>
      <c r="E42" s="128">
        <f>LOOKUP($A42,Quantities!$T36:$T51,Quantities!AR36:AR51)</f>
      </c>
      <c r="F42" s="129">
        <f>LOOKUP($A42,Quantities!$T36:$T51,Quantities!AQ36:AQ51)</f>
        <v>0</v>
      </c>
      <c r="G42" s="130">
        <f t="shared" si="14"/>
        <v>0</v>
      </c>
      <c r="H42" s="152"/>
      <c r="I42" s="115">
        <f t="shared" si="8"/>
        <v>0</v>
      </c>
      <c r="J42" s="152"/>
      <c r="K42" s="115">
        <f t="shared" si="9"/>
        <v>0</v>
      </c>
      <c r="L42" s="152"/>
      <c r="M42" s="115">
        <f t="shared" si="10"/>
        <v>0</v>
      </c>
      <c r="N42" s="152"/>
      <c r="O42" s="115">
        <f t="shared" si="11"/>
        <v>0</v>
      </c>
      <c r="P42" s="152"/>
      <c r="Q42" s="115">
        <f t="shared" si="12"/>
        <v>0</v>
      </c>
      <c r="R42" s="149"/>
      <c r="S42" s="113">
        <f t="shared" si="13"/>
        <v>0</v>
      </c>
    </row>
    <row r="43" spans="1:19" s="58" customFormat="1" ht="12.75">
      <c r="A43" s="127">
        <f t="shared" si="15"/>
        <v>8</v>
      </c>
      <c r="B43" s="128">
        <f>LOOKUP($A43,Quantities!$T36:$T51,Quantities!AE36:AE51)</f>
      </c>
      <c r="C43" s="128">
        <f>LOOKUP($A43,Quantities!$T36:$T51,Quantities!AF36:AF51)</f>
      </c>
      <c r="D43" s="128">
        <f>LOOKUP($A43,Quantities!$T36:$T51,Quantities!AG36:AG51)</f>
      </c>
      <c r="E43" s="128">
        <f>LOOKUP($A43,Quantities!$T36:$T51,Quantities!AR36:AR51)</f>
      </c>
      <c r="F43" s="129">
        <f>LOOKUP($A43,Quantities!$T36:$T51,Quantities!AQ36:AQ51)</f>
        <v>0</v>
      </c>
      <c r="G43" s="130">
        <f t="shared" si="14"/>
        <v>0</v>
      </c>
      <c r="H43" s="152"/>
      <c r="I43" s="115">
        <f t="shared" si="8"/>
        <v>0</v>
      </c>
      <c r="J43" s="152"/>
      <c r="K43" s="115">
        <f t="shared" si="9"/>
        <v>0</v>
      </c>
      <c r="L43" s="152"/>
      <c r="M43" s="115">
        <f t="shared" si="10"/>
        <v>0</v>
      </c>
      <c r="N43" s="152"/>
      <c r="O43" s="115">
        <f t="shared" si="11"/>
        <v>0</v>
      </c>
      <c r="P43" s="152"/>
      <c r="Q43" s="115">
        <f t="shared" si="12"/>
        <v>0</v>
      </c>
      <c r="R43" s="149"/>
      <c r="S43" s="113">
        <f t="shared" si="13"/>
        <v>0</v>
      </c>
    </row>
    <row r="44" spans="1:19" s="58" customFormat="1" ht="12.75">
      <c r="A44" s="127">
        <f t="shared" si="15"/>
        <v>9</v>
      </c>
      <c r="B44" s="128">
        <f>LOOKUP($A44,Quantities!$T36:$T51,Quantities!AE36:AE51)</f>
      </c>
      <c r="C44" s="128">
        <f>LOOKUP($A44,Quantities!$T36:$T51,Quantities!AF36:AF51)</f>
      </c>
      <c r="D44" s="128">
        <f>LOOKUP($A44,Quantities!$T36:$T51,Quantities!AG36:AG51)</f>
      </c>
      <c r="E44" s="128">
        <f>LOOKUP($A44,Quantities!$T36:$T51,Quantities!AR36:AR51)</f>
      </c>
      <c r="F44" s="129">
        <f>LOOKUP($A44,Quantities!$T36:$T51,Quantities!AQ36:AQ51)</f>
        <v>0</v>
      </c>
      <c r="G44" s="130">
        <f t="shared" si="14"/>
        <v>0</v>
      </c>
      <c r="H44" s="152"/>
      <c r="I44" s="115">
        <f t="shared" si="8"/>
        <v>0</v>
      </c>
      <c r="J44" s="152"/>
      <c r="K44" s="115">
        <f t="shared" si="9"/>
        <v>0</v>
      </c>
      <c r="L44" s="152"/>
      <c r="M44" s="115">
        <f t="shared" si="10"/>
        <v>0</v>
      </c>
      <c r="N44" s="152"/>
      <c r="O44" s="115">
        <f t="shared" si="11"/>
        <v>0</v>
      </c>
      <c r="P44" s="152"/>
      <c r="Q44" s="115">
        <f t="shared" si="12"/>
        <v>0</v>
      </c>
      <c r="R44" s="149"/>
      <c r="S44" s="113">
        <f t="shared" si="13"/>
        <v>0</v>
      </c>
    </row>
    <row r="45" spans="1:19" s="58" customFormat="1" ht="12.75">
      <c r="A45" s="127">
        <f t="shared" si="15"/>
        <v>10</v>
      </c>
      <c r="B45" s="128">
        <f>LOOKUP($A45,Quantities!$T36:$T51,Quantities!AE36:AE51)</f>
      </c>
      <c r="C45" s="128">
        <f>LOOKUP($A45,Quantities!$T36:$T51,Quantities!AF36:AF51)</f>
      </c>
      <c r="D45" s="128">
        <f>LOOKUP($A45,Quantities!$T36:$T51,Quantities!AG36:AG51)</f>
      </c>
      <c r="E45" s="128">
        <f>LOOKUP($A45,Quantities!$T36:$T51,Quantities!AR36:AR51)</f>
      </c>
      <c r="F45" s="129">
        <f>LOOKUP($A45,Quantities!$T36:$T51,Quantities!AQ36:AQ51)</f>
        <v>0</v>
      </c>
      <c r="G45" s="130">
        <f t="shared" si="14"/>
        <v>0</v>
      </c>
      <c r="H45" s="152"/>
      <c r="I45" s="115">
        <f t="shared" si="8"/>
        <v>0</v>
      </c>
      <c r="J45" s="152"/>
      <c r="K45" s="115">
        <f t="shared" si="9"/>
        <v>0</v>
      </c>
      <c r="L45" s="152"/>
      <c r="M45" s="115">
        <f t="shared" si="10"/>
        <v>0</v>
      </c>
      <c r="N45" s="152"/>
      <c r="O45" s="115">
        <f t="shared" si="11"/>
        <v>0</v>
      </c>
      <c r="P45" s="152"/>
      <c r="Q45" s="115">
        <f t="shared" si="12"/>
        <v>0</v>
      </c>
      <c r="R45" s="149"/>
      <c r="S45" s="113">
        <f t="shared" si="13"/>
        <v>0</v>
      </c>
    </row>
    <row r="46" spans="1:19" s="58" customFormat="1" ht="12.75">
      <c r="A46" s="127">
        <f t="shared" si="15"/>
        <v>11</v>
      </c>
      <c r="B46" s="128">
        <f>LOOKUP($A46,Quantities!$T36:$T51,Quantities!AE36:AE51)</f>
      </c>
      <c r="C46" s="128">
        <f>LOOKUP($A46,Quantities!$T36:$T51,Quantities!AF36:AF51)</f>
      </c>
      <c r="D46" s="128">
        <f>LOOKUP($A46,Quantities!$T36:$T51,Quantities!AG36:AG51)</f>
      </c>
      <c r="E46" s="128">
        <f>LOOKUP($A46,Quantities!$T36:$T51,Quantities!AR36:AR51)</f>
      </c>
      <c r="F46" s="129">
        <f>LOOKUP($A46,Quantities!$T36:$T51,Quantities!AQ36:AQ51)</f>
        <v>0</v>
      </c>
      <c r="G46" s="130">
        <f t="shared" si="14"/>
        <v>0</v>
      </c>
      <c r="H46" s="152"/>
      <c r="I46" s="115">
        <f t="shared" si="8"/>
        <v>0</v>
      </c>
      <c r="J46" s="152"/>
      <c r="K46" s="115">
        <f t="shared" si="9"/>
        <v>0</v>
      </c>
      <c r="L46" s="152"/>
      <c r="M46" s="115">
        <f t="shared" si="10"/>
        <v>0</v>
      </c>
      <c r="N46" s="152"/>
      <c r="O46" s="115">
        <f t="shared" si="11"/>
        <v>0</v>
      </c>
      <c r="P46" s="152"/>
      <c r="Q46" s="115">
        <f t="shared" si="12"/>
        <v>0</v>
      </c>
      <c r="R46" s="149"/>
      <c r="S46" s="113">
        <f t="shared" si="13"/>
        <v>0</v>
      </c>
    </row>
    <row r="47" spans="1:19" s="58" customFormat="1" ht="12.75">
      <c r="A47" s="127">
        <f t="shared" si="15"/>
        <v>12</v>
      </c>
      <c r="B47" s="128">
        <f>LOOKUP($A47,Quantities!$T36:$T51,Quantities!AE36:AE51)</f>
      </c>
      <c r="C47" s="128">
        <f>LOOKUP($A47,Quantities!$T36:$T51,Quantities!AF36:AF51)</f>
      </c>
      <c r="D47" s="128">
        <f>LOOKUP($A47,Quantities!$T36:$T51,Quantities!AG36:AG51)</f>
      </c>
      <c r="E47" s="128">
        <f>LOOKUP($A47,Quantities!$T36:$T51,Quantities!AR36:AR51)</f>
      </c>
      <c r="F47" s="129">
        <f>LOOKUP($A47,Quantities!$T36:$T51,Quantities!AQ36:AQ51)</f>
        <v>0</v>
      </c>
      <c r="G47" s="130">
        <f t="shared" si="14"/>
        <v>0</v>
      </c>
      <c r="H47" s="152"/>
      <c r="I47" s="115">
        <f t="shared" si="8"/>
        <v>0</v>
      </c>
      <c r="J47" s="152"/>
      <c r="K47" s="115">
        <f t="shared" si="9"/>
        <v>0</v>
      </c>
      <c r="L47" s="152"/>
      <c r="M47" s="115">
        <f t="shared" si="10"/>
        <v>0</v>
      </c>
      <c r="N47" s="152"/>
      <c r="O47" s="115">
        <f t="shared" si="11"/>
        <v>0</v>
      </c>
      <c r="P47" s="152"/>
      <c r="Q47" s="115">
        <f t="shared" si="12"/>
        <v>0</v>
      </c>
      <c r="R47" s="149"/>
      <c r="S47" s="113">
        <f t="shared" si="13"/>
        <v>0</v>
      </c>
    </row>
    <row r="48" spans="1:19" s="58" customFormat="1" ht="12.75">
      <c r="A48" s="127">
        <f t="shared" si="15"/>
        <v>13</v>
      </c>
      <c r="B48" s="128">
        <f>LOOKUP($A48,Quantities!$T36:$T51,Quantities!AE36:AE51)</f>
      </c>
      <c r="C48" s="128">
        <f>LOOKUP($A48,Quantities!$T36:$T51,Quantities!AF36:AF51)</f>
      </c>
      <c r="D48" s="128">
        <f>LOOKUP($A48,Quantities!$T36:$T51,Quantities!AG36:AG51)</f>
      </c>
      <c r="E48" s="128">
        <f>LOOKUP($A48,Quantities!$T36:$T51,Quantities!AR36:AR51)</f>
      </c>
      <c r="F48" s="129">
        <f>LOOKUP($A48,Quantities!$T36:$T51,Quantities!AQ36:AQ51)</f>
        <v>0</v>
      </c>
      <c r="G48" s="130">
        <f t="shared" si="14"/>
        <v>0</v>
      </c>
      <c r="H48" s="152"/>
      <c r="I48" s="115">
        <f t="shared" si="8"/>
        <v>0</v>
      </c>
      <c r="J48" s="152"/>
      <c r="K48" s="115">
        <f t="shared" si="9"/>
        <v>0</v>
      </c>
      <c r="L48" s="152"/>
      <c r="M48" s="115">
        <f t="shared" si="10"/>
        <v>0</v>
      </c>
      <c r="N48" s="152"/>
      <c r="O48" s="115">
        <f t="shared" si="11"/>
        <v>0</v>
      </c>
      <c r="P48" s="152"/>
      <c r="Q48" s="115">
        <f t="shared" si="12"/>
        <v>0</v>
      </c>
      <c r="R48" s="149"/>
      <c r="S48" s="113">
        <f t="shared" si="13"/>
        <v>0</v>
      </c>
    </row>
    <row r="49" spans="1:19" s="58" customFormat="1" ht="12.75">
      <c r="A49" s="127">
        <f t="shared" si="15"/>
        <v>14</v>
      </c>
      <c r="B49" s="128">
        <f>LOOKUP($A49,Quantities!$T36:$T51,Quantities!AE36:AE51)</f>
      </c>
      <c r="C49" s="128">
        <f>LOOKUP($A49,Quantities!$T36:$T51,Quantities!AF36:AF51)</f>
      </c>
      <c r="D49" s="128">
        <f>LOOKUP($A49,Quantities!$T36:$T51,Quantities!AG36:AG51)</f>
      </c>
      <c r="E49" s="128">
        <f>LOOKUP($A49,Quantities!$T36:$T51,Quantities!AR36:AR51)</f>
      </c>
      <c r="F49" s="129">
        <f>LOOKUP($A49,Quantities!$T36:$T51,Quantities!AQ36:AQ51)</f>
        <v>0</v>
      </c>
      <c r="G49" s="130">
        <f t="shared" si="14"/>
        <v>0</v>
      </c>
      <c r="H49" s="152"/>
      <c r="I49" s="115">
        <f t="shared" si="8"/>
        <v>0</v>
      </c>
      <c r="J49" s="152"/>
      <c r="K49" s="115">
        <f t="shared" si="9"/>
        <v>0</v>
      </c>
      <c r="L49" s="152"/>
      <c r="M49" s="115">
        <f t="shared" si="10"/>
        <v>0</v>
      </c>
      <c r="N49" s="152"/>
      <c r="O49" s="115">
        <f t="shared" si="11"/>
        <v>0</v>
      </c>
      <c r="P49" s="152"/>
      <c r="Q49" s="115">
        <f t="shared" si="12"/>
        <v>0</v>
      </c>
      <c r="R49" s="149"/>
      <c r="S49" s="113">
        <f t="shared" si="13"/>
        <v>0</v>
      </c>
    </row>
    <row r="50" spans="1:19" s="59" customFormat="1" ht="12.75">
      <c r="A50" s="127">
        <f t="shared" si="15"/>
        <v>15</v>
      </c>
      <c r="B50" s="128">
        <f>LOOKUP($A50,Quantities!$T36:$T51,Quantities!AE36:AE51)</f>
      </c>
      <c r="C50" s="128">
        <f>LOOKUP($A50,Quantities!$T36:$T51,Quantities!AF36:AF51)</f>
      </c>
      <c r="D50" s="128">
        <f>LOOKUP($A50,Quantities!$T36:$T51,Quantities!AG36:AG51)</f>
      </c>
      <c r="E50" s="128">
        <f>LOOKUP($A50,Quantities!$T36:$T51,Quantities!AR36:AR51)</f>
      </c>
      <c r="F50" s="129">
        <f>LOOKUP($A50,Quantities!$T36:$T51,Quantities!AQ36:AQ51)</f>
        <v>0</v>
      </c>
      <c r="G50" s="130">
        <f t="shared" si="14"/>
        <v>0</v>
      </c>
      <c r="H50" s="152"/>
      <c r="I50" s="115">
        <f t="shared" si="8"/>
        <v>0</v>
      </c>
      <c r="J50" s="152"/>
      <c r="K50" s="115">
        <f t="shared" si="9"/>
        <v>0</v>
      </c>
      <c r="L50" s="152"/>
      <c r="M50" s="115">
        <f t="shared" si="10"/>
        <v>0</v>
      </c>
      <c r="N50" s="152"/>
      <c r="O50" s="115">
        <f t="shared" si="11"/>
        <v>0</v>
      </c>
      <c r="P50" s="152"/>
      <c r="Q50" s="115">
        <f t="shared" si="12"/>
        <v>0</v>
      </c>
      <c r="R50" s="149"/>
      <c r="S50" s="113">
        <f t="shared" si="13"/>
        <v>0</v>
      </c>
    </row>
    <row r="51" spans="1:19" s="59" customFormat="1" ht="12.75">
      <c r="A51" s="127">
        <f t="shared" si="15"/>
        <v>16</v>
      </c>
      <c r="B51" s="128">
        <f>LOOKUP($A51,Quantities!$T36:$T51,Quantities!AE36:AE51)</f>
      </c>
      <c r="C51" s="128">
        <f>LOOKUP($A51,Quantities!$T36:$T51,Quantities!AF36:AF51)</f>
      </c>
      <c r="D51" s="128">
        <f>LOOKUP($A51,Quantities!$T36:$T51,Quantities!AG36:AG51)</f>
      </c>
      <c r="E51" s="128">
        <f>LOOKUP($A51,Quantities!$T36:$T51,Quantities!AR36:AR51)</f>
      </c>
      <c r="F51" s="129">
        <f>LOOKUP($A51,Quantities!$T36:$T51,Quantities!AQ36:AQ51)</f>
        <v>0</v>
      </c>
      <c r="G51" s="130">
        <f t="shared" si="14"/>
        <v>0</v>
      </c>
      <c r="H51" s="152"/>
      <c r="I51" s="115">
        <f t="shared" si="8"/>
        <v>0</v>
      </c>
      <c r="J51" s="152"/>
      <c r="K51" s="115">
        <f t="shared" si="9"/>
        <v>0</v>
      </c>
      <c r="L51" s="152"/>
      <c r="M51" s="115">
        <f t="shared" si="10"/>
        <v>0</v>
      </c>
      <c r="N51" s="152"/>
      <c r="O51" s="115">
        <f t="shared" si="11"/>
        <v>0</v>
      </c>
      <c r="P51" s="152"/>
      <c r="Q51" s="115">
        <f t="shared" si="12"/>
        <v>0</v>
      </c>
      <c r="R51" s="149"/>
      <c r="S51" s="113">
        <f t="shared" si="13"/>
        <v>0</v>
      </c>
    </row>
    <row r="52" spans="1:19" ht="13.5" thickBot="1">
      <c r="A52" s="131"/>
      <c r="B52" s="132"/>
      <c r="C52" s="132"/>
      <c r="D52" s="132"/>
      <c r="E52" s="133" t="s">
        <v>129</v>
      </c>
      <c r="F52" s="134"/>
      <c r="G52" s="135">
        <f>SUM(G36:G51)</f>
        <v>170725</v>
      </c>
      <c r="H52" s="153"/>
      <c r="I52" s="116">
        <f>SUM(I36:I51)</f>
        <v>0</v>
      </c>
      <c r="J52" s="153"/>
      <c r="K52" s="116">
        <f>SUM(K36:K51)</f>
        <v>0</v>
      </c>
      <c r="L52" s="153"/>
      <c r="M52" s="116">
        <f>SUM(M36:M51)</f>
        <v>0</v>
      </c>
      <c r="N52" s="153"/>
      <c r="O52" s="116">
        <f>SUM(O36:O51)</f>
        <v>0</v>
      </c>
      <c r="P52" s="153"/>
      <c r="Q52" s="116">
        <f>SUM(Q36:Q51)</f>
        <v>0</v>
      </c>
      <c r="R52" s="150"/>
      <c r="S52" s="114">
        <f>SUM(S36:S51)</f>
        <v>0</v>
      </c>
    </row>
    <row r="53" ht="11.25" customHeight="1"/>
    <row r="54" spans="1:7" s="44" customFormat="1" ht="12.75">
      <c r="A54" s="43" t="str">
        <f>Quantities!C66</f>
        <v>Road M3 b/ Road 14- Road Z</v>
      </c>
      <c r="F54" s="45"/>
      <c r="G54" s="45"/>
    </row>
    <row r="55" spans="1:7" s="38" customFormat="1" ht="12.75">
      <c r="A55" s="44" t="str">
        <f>Quantities!AB84</f>
        <v>Length:  1865 Feet or 0.35 Mile(s)</v>
      </c>
      <c r="B55" s="46"/>
      <c r="C55" s="44"/>
      <c r="D55" s="47"/>
      <c r="F55" s="48"/>
      <c r="G55" s="48"/>
    </row>
    <row r="56" spans="1:7" s="38" customFormat="1" ht="12.75">
      <c r="A56" s="44" t="str">
        <f>Quantities!AB85</f>
        <v>Width:  19 Feet     (Approx. 3975 S.Y. including radius and driveway work)</v>
      </c>
      <c r="B56" s="44"/>
      <c r="C56" s="46"/>
      <c r="D56" s="49"/>
      <c r="F56" s="48"/>
      <c r="G56" s="48"/>
    </row>
    <row r="57" spans="1:7" s="38" customFormat="1" ht="13.5" thickBot="1">
      <c r="A57" s="44" t="str">
        <f>Quantities!AB86</f>
        <v>Type: ODOT Spec 823 </v>
      </c>
      <c r="B57" s="50"/>
      <c r="C57" s="50"/>
      <c r="D57" s="50"/>
      <c r="F57" s="48"/>
      <c r="G57" s="48"/>
    </row>
    <row r="58" spans="1:19" s="38" customFormat="1" ht="12.75">
      <c r="A58" s="136"/>
      <c r="B58" s="137"/>
      <c r="C58" s="138"/>
      <c r="D58" s="138"/>
      <c r="E58" s="139"/>
      <c r="F58" s="177" t="s">
        <v>150</v>
      </c>
      <c r="G58" s="178"/>
      <c r="H58" s="180" t="s">
        <v>151</v>
      </c>
      <c r="I58" s="181"/>
      <c r="J58" s="179" t="s">
        <v>152</v>
      </c>
      <c r="K58" s="179"/>
      <c r="L58" s="179" t="s">
        <v>153</v>
      </c>
      <c r="M58" s="179"/>
      <c r="N58" s="179" t="s">
        <v>154</v>
      </c>
      <c r="O58" s="179"/>
      <c r="P58" s="179" t="s">
        <v>155</v>
      </c>
      <c r="Q58" s="181"/>
      <c r="R58" s="182" t="s">
        <v>156</v>
      </c>
      <c r="S58" s="183"/>
    </row>
    <row r="59" spans="1:19" s="38" customFormat="1" ht="13.5" thickBot="1">
      <c r="A59" s="140" t="s">
        <v>1</v>
      </c>
      <c r="B59" s="141" t="s">
        <v>2</v>
      </c>
      <c r="C59" s="141" t="s">
        <v>36</v>
      </c>
      <c r="D59" s="141" t="s">
        <v>3</v>
      </c>
      <c r="E59" s="142" t="s">
        <v>4</v>
      </c>
      <c r="F59" s="143" t="s">
        <v>5</v>
      </c>
      <c r="G59" s="144" t="s">
        <v>6</v>
      </c>
      <c r="H59" s="119" t="s">
        <v>5</v>
      </c>
      <c r="I59" s="120" t="s">
        <v>6</v>
      </c>
      <c r="J59" s="119" t="s">
        <v>5</v>
      </c>
      <c r="K59" s="120" t="s">
        <v>6</v>
      </c>
      <c r="L59" s="119" t="s">
        <v>5</v>
      </c>
      <c r="M59" s="120" t="s">
        <v>6</v>
      </c>
      <c r="N59" s="119" t="s">
        <v>5</v>
      </c>
      <c r="O59" s="120" t="s">
        <v>6</v>
      </c>
      <c r="P59" s="119" t="s">
        <v>5</v>
      </c>
      <c r="Q59" s="120" t="s">
        <v>6</v>
      </c>
      <c r="R59" s="121" t="s">
        <v>5</v>
      </c>
      <c r="S59" s="122" t="s">
        <v>6</v>
      </c>
    </row>
    <row r="60" spans="1:19" s="58" customFormat="1" ht="13.5" thickTop="1">
      <c r="A60" s="123">
        <f>A36</f>
        <v>1</v>
      </c>
      <c r="B60" s="124">
        <f>LOOKUP($A60,Quantities!$T67:$T82,Quantities!AE67:AE82)</f>
        <v>407</v>
      </c>
      <c r="C60" s="124">
        <f>LOOKUP($A60,Quantities!$T67:$T82,Quantities!AF67:AF82)</f>
        <v>200</v>
      </c>
      <c r="D60" s="124" t="str">
        <f>LOOKUP($A60,Quantities!$T67:$T82,Quantities!AG67:AG82)</f>
        <v>Gal</v>
      </c>
      <c r="E60" s="124" t="str">
        <f>LOOKUP($A60,Quantities!$T67:$T82,Quantities!AR67:AR82)</f>
        <v>Bituminous Tack Coat applied at 0.05 gallons per square yard</v>
      </c>
      <c r="F60" s="125">
        <f>LOOKUP($A60,Quantities!$T67:$T82,Quantities!AQ67:AQ82)</f>
        <v>2.1</v>
      </c>
      <c r="G60" s="126">
        <f aca="true" t="shared" si="16" ref="G60:G75">IF(C60="",0,F60*C60)</f>
        <v>420</v>
      </c>
      <c r="H60" s="151"/>
      <c r="I60" s="117">
        <f aca="true" t="shared" si="17" ref="I60:I75">IF($C60="",0,H60*$C60)</f>
        <v>0</v>
      </c>
      <c r="J60" s="151"/>
      <c r="K60" s="117">
        <f aca="true" t="shared" si="18" ref="K60:K123">IF($C60="",0,J60*$C60)</f>
        <v>0</v>
      </c>
      <c r="L60" s="151"/>
      <c r="M60" s="117">
        <f aca="true" t="shared" si="19" ref="M60:M123">IF($C60="",0,L60*$C60)</f>
        <v>0</v>
      </c>
      <c r="N60" s="151"/>
      <c r="O60" s="117">
        <f aca="true" t="shared" si="20" ref="O60:O123">IF($C60="",0,N60*$C60)</f>
        <v>0</v>
      </c>
      <c r="P60" s="151"/>
      <c r="Q60" s="117">
        <f aca="true" t="shared" si="21" ref="Q60:Q123">IF($C60="",0,P60*$C60)</f>
        <v>0</v>
      </c>
      <c r="R60" s="148"/>
      <c r="S60" s="118">
        <f aca="true" t="shared" si="22" ref="S60:S75">IF($C60="",0,R60*$C60)</f>
        <v>0</v>
      </c>
    </row>
    <row r="61" spans="1:19" s="58" customFormat="1" ht="38.25">
      <c r="A61" s="127">
        <f aca="true" t="shared" si="23" ref="A61:A75">A60+1</f>
        <v>2</v>
      </c>
      <c r="B61" s="128">
        <f>LOOKUP($A61,Quantities!$T67:$T82,Quantities!AE67:AE82)</f>
        <v>823</v>
      </c>
      <c r="C61" s="128">
        <f>LOOKUP($A61,Quantities!$T67:$T82,Quantities!AF67:AF82)</f>
        <v>166</v>
      </c>
      <c r="D61" s="128" t="str">
        <f>LOOKUP($A61,Quantities!$T67:$T82,Quantities!AG67:AG82)</f>
        <v>C.Y.</v>
      </c>
      <c r="E61" s="128" t="str">
        <f>LOOKUP($A61,Quantities!$T67:$T82,Quantities!AR67:AR82)</f>
        <v>Asphalt concrete surface course PG 64-22, Type 1 (823) applied, spread and compacted at the average depth of 1.5 inches</v>
      </c>
      <c r="F61" s="129">
        <f>LOOKUP($A61,Quantities!$T67:$T82,Quantities!AQ67:AQ82)</f>
        <v>185</v>
      </c>
      <c r="G61" s="130">
        <f t="shared" si="16"/>
        <v>30710</v>
      </c>
      <c r="H61" s="152"/>
      <c r="I61" s="115">
        <f t="shared" si="17"/>
        <v>0</v>
      </c>
      <c r="J61" s="152"/>
      <c r="K61" s="115">
        <f t="shared" si="18"/>
        <v>0</v>
      </c>
      <c r="L61" s="152"/>
      <c r="M61" s="115">
        <f t="shared" si="19"/>
        <v>0</v>
      </c>
      <c r="N61" s="152"/>
      <c r="O61" s="115">
        <f t="shared" si="20"/>
        <v>0</v>
      </c>
      <c r="P61" s="152"/>
      <c r="Q61" s="115">
        <f t="shared" si="21"/>
        <v>0</v>
      </c>
      <c r="R61" s="149"/>
      <c r="S61" s="113">
        <f t="shared" si="22"/>
        <v>0</v>
      </c>
    </row>
    <row r="62" spans="1:19" s="58" customFormat="1" ht="12.75">
      <c r="A62" s="127">
        <f t="shared" si="23"/>
        <v>3</v>
      </c>
      <c r="B62" s="128">
        <f>LOOKUP($A62,Quantities!$T67:$T82,Quantities!AE67:AE82)</f>
        <v>614</v>
      </c>
      <c r="C62" s="128">
        <f>LOOKUP($A62,Quantities!$T67:$T82,Quantities!AF67:AF82)</f>
        <v>1</v>
      </c>
      <c r="D62" s="128" t="str">
        <f>LOOKUP($A62,Quantities!$T67:$T82,Quantities!AG67:AG82)</f>
        <v>L.S.</v>
      </c>
      <c r="E62" s="128" t="str">
        <f>LOOKUP($A62,Quantities!$T67:$T82,Quantities!AR67:AR82)</f>
        <v>Maintaining Traffic</v>
      </c>
      <c r="F62" s="129">
        <f>LOOKUP($A62,Quantities!$T67:$T82,Quantities!AQ67:AQ82)</f>
        <v>3000</v>
      </c>
      <c r="G62" s="130">
        <f t="shared" si="16"/>
        <v>3000</v>
      </c>
      <c r="H62" s="152"/>
      <c r="I62" s="115">
        <f t="shared" si="17"/>
        <v>0</v>
      </c>
      <c r="J62" s="152"/>
      <c r="K62" s="115">
        <f t="shared" si="18"/>
        <v>0</v>
      </c>
      <c r="L62" s="152"/>
      <c r="M62" s="115">
        <f t="shared" si="19"/>
        <v>0</v>
      </c>
      <c r="N62" s="152"/>
      <c r="O62" s="115">
        <f t="shared" si="20"/>
        <v>0</v>
      </c>
      <c r="P62" s="152"/>
      <c r="Q62" s="115">
        <f t="shared" si="21"/>
        <v>0</v>
      </c>
      <c r="R62" s="149"/>
      <c r="S62" s="113">
        <f t="shared" si="22"/>
        <v>0</v>
      </c>
    </row>
    <row r="63" spans="1:19" s="59" customFormat="1" ht="12.75">
      <c r="A63" s="127">
        <f t="shared" si="23"/>
        <v>4</v>
      </c>
      <c r="B63" s="128">
        <f>LOOKUP($A63,Quantities!$T67:$T82,Quantities!AE67:AE82)</f>
        <v>624</v>
      </c>
      <c r="C63" s="128">
        <f>LOOKUP($A63,Quantities!$T67:$T82,Quantities!AF67:AF82)</f>
        <v>1</v>
      </c>
      <c r="D63" s="128" t="str">
        <f>LOOKUP($A63,Quantities!$T67:$T82,Quantities!AG67:AG82)</f>
        <v>L.S.</v>
      </c>
      <c r="E63" s="128" t="str">
        <f>LOOKUP($A63,Quantities!$T67:$T82,Quantities!AR67:AR82)</f>
        <v>Mobilization</v>
      </c>
      <c r="F63" s="129">
        <f>LOOKUP($A63,Quantities!$T67:$T82,Quantities!AQ67:AQ82)</f>
        <v>1500</v>
      </c>
      <c r="G63" s="130">
        <f t="shared" si="16"/>
        <v>1500</v>
      </c>
      <c r="H63" s="152"/>
      <c r="I63" s="115">
        <f t="shared" si="17"/>
        <v>0</v>
      </c>
      <c r="J63" s="152"/>
      <c r="K63" s="115">
        <f t="shared" si="18"/>
        <v>0</v>
      </c>
      <c r="L63" s="152"/>
      <c r="M63" s="115">
        <f t="shared" si="19"/>
        <v>0</v>
      </c>
      <c r="N63" s="152"/>
      <c r="O63" s="115">
        <f t="shared" si="20"/>
        <v>0</v>
      </c>
      <c r="P63" s="152"/>
      <c r="Q63" s="115">
        <f t="shared" si="21"/>
        <v>0</v>
      </c>
      <c r="R63" s="149"/>
      <c r="S63" s="113">
        <f t="shared" si="22"/>
        <v>0</v>
      </c>
    </row>
    <row r="64" spans="1:19" s="58" customFormat="1" ht="12.75">
      <c r="A64" s="127">
        <f t="shared" si="23"/>
        <v>5</v>
      </c>
      <c r="B64" s="128">
        <f>LOOKUP($A64,Quantities!$T67:$T82,Quantities!AE67:AE82)</f>
        <v>103.05</v>
      </c>
      <c r="C64" s="128">
        <f>LOOKUP($A64,Quantities!$T67:$T82,Quantities!AF67:AF82)</f>
        <v>1</v>
      </c>
      <c r="D64" s="128" t="str">
        <f>LOOKUP($A64,Quantities!$T67:$T82,Quantities!AG67:AG82)</f>
        <v>L.S.</v>
      </c>
      <c r="E64" s="128" t="str">
        <f>LOOKUP($A64,Quantities!$T67:$T82,Quantities!AR67:AR82)</f>
        <v>Contract Performance &amp; Payment Bond</v>
      </c>
      <c r="F64" s="129">
        <f>LOOKUP($A64,Quantities!$T67:$T82,Quantities!AQ67:AQ82)</f>
        <v>900</v>
      </c>
      <c r="G64" s="130">
        <f t="shared" si="16"/>
        <v>900</v>
      </c>
      <c r="H64" s="152"/>
      <c r="I64" s="115">
        <f t="shared" si="17"/>
        <v>0</v>
      </c>
      <c r="J64" s="152"/>
      <c r="K64" s="115">
        <f t="shared" si="18"/>
        <v>0</v>
      </c>
      <c r="L64" s="152"/>
      <c r="M64" s="115">
        <f t="shared" si="19"/>
        <v>0</v>
      </c>
      <c r="N64" s="152"/>
      <c r="O64" s="115">
        <f t="shared" si="20"/>
        <v>0</v>
      </c>
      <c r="P64" s="152"/>
      <c r="Q64" s="115">
        <f t="shared" si="21"/>
        <v>0</v>
      </c>
      <c r="R64" s="149"/>
      <c r="S64" s="113">
        <f t="shared" si="22"/>
        <v>0</v>
      </c>
    </row>
    <row r="65" spans="1:19" s="58" customFormat="1" ht="12.75">
      <c r="A65" s="127">
        <f t="shared" si="23"/>
        <v>6</v>
      </c>
      <c r="B65" s="128">
        <f>LOOKUP($A65,Quantities!$T67:$T82,Quantities!AE67:AE82)</f>
      </c>
      <c r="C65" s="128">
        <f>LOOKUP($A65,Quantities!$T67:$T82,Quantities!AF67:AF82)</f>
      </c>
      <c r="D65" s="128">
        <f>LOOKUP($A65,Quantities!$T67:$T82,Quantities!AG67:AG82)</f>
      </c>
      <c r="E65" s="128">
        <f>LOOKUP($A65,Quantities!$T67:$T82,Quantities!AR67:AR82)</f>
      </c>
      <c r="F65" s="129">
        <f>LOOKUP($A65,Quantities!$T67:$T82,Quantities!AQ67:AQ82)</f>
        <v>0</v>
      </c>
      <c r="G65" s="130">
        <f t="shared" si="16"/>
        <v>0</v>
      </c>
      <c r="H65" s="152"/>
      <c r="I65" s="115">
        <f t="shared" si="17"/>
        <v>0</v>
      </c>
      <c r="J65" s="152"/>
      <c r="K65" s="115">
        <f t="shared" si="18"/>
        <v>0</v>
      </c>
      <c r="L65" s="152"/>
      <c r="M65" s="115">
        <f t="shared" si="19"/>
        <v>0</v>
      </c>
      <c r="N65" s="152"/>
      <c r="O65" s="115">
        <f t="shared" si="20"/>
        <v>0</v>
      </c>
      <c r="P65" s="152"/>
      <c r="Q65" s="115">
        <f t="shared" si="21"/>
        <v>0</v>
      </c>
      <c r="R65" s="149"/>
      <c r="S65" s="113">
        <f t="shared" si="22"/>
        <v>0</v>
      </c>
    </row>
    <row r="66" spans="1:19" s="58" customFormat="1" ht="12.75">
      <c r="A66" s="127">
        <f t="shared" si="23"/>
        <v>7</v>
      </c>
      <c r="B66" s="128">
        <f>LOOKUP($A66,Quantities!$T67:$T82,Quantities!AE67:AE82)</f>
      </c>
      <c r="C66" s="128">
        <f>LOOKUP($A66,Quantities!$T67:$T82,Quantities!AF67:AF82)</f>
      </c>
      <c r="D66" s="128">
        <f>LOOKUP($A66,Quantities!$T67:$T82,Quantities!AG67:AG82)</f>
      </c>
      <c r="E66" s="128">
        <f>LOOKUP($A66,Quantities!$T67:$T82,Quantities!AR67:AR82)</f>
      </c>
      <c r="F66" s="129">
        <f>LOOKUP($A66,Quantities!$T67:$T82,Quantities!AQ67:AQ82)</f>
        <v>0</v>
      </c>
      <c r="G66" s="130">
        <f t="shared" si="16"/>
        <v>0</v>
      </c>
      <c r="H66" s="152"/>
      <c r="I66" s="115">
        <f t="shared" si="17"/>
        <v>0</v>
      </c>
      <c r="J66" s="152"/>
      <c r="K66" s="115">
        <f t="shared" si="18"/>
        <v>0</v>
      </c>
      <c r="L66" s="152"/>
      <c r="M66" s="115">
        <f t="shared" si="19"/>
        <v>0</v>
      </c>
      <c r="N66" s="152"/>
      <c r="O66" s="115">
        <f t="shared" si="20"/>
        <v>0</v>
      </c>
      <c r="P66" s="152"/>
      <c r="Q66" s="115">
        <f t="shared" si="21"/>
        <v>0</v>
      </c>
      <c r="R66" s="149"/>
      <c r="S66" s="113">
        <f t="shared" si="22"/>
        <v>0</v>
      </c>
    </row>
    <row r="67" spans="1:19" s="58" customFormat="1" ht="12.75">
      <c r="A67" s="127">
        <f t="shared" si="23"/>
        <v>8</v>
      </c>
      <c r="B67" s="128">
        <f>LOOKUP($A67,Quantities!$T67:$T82,Quantities!AE67:AE82)</f>
      </c>
      <c r="C67" s="128">
        <f>LOOKUP($A67,Quantities!$T67:$T82,Quantities!AF67:AF82)</f>
      </c>
      <c r="D67" s="128">
        <f>LOOKUP($A67,Quantities!$T67:$T82,Quantities!AG67:AG82)</f>
      </c>
      <c r="E67" s="128">
        <f>LOOKUP($A67,Quantities!$T67:$T82,Quantities!AR67:AR82)</f>
      </c>
      <c r="F67" s="129">
        <f>LOOKUP($A67,Quantities!$T67:$T82,Quantities!AQ67:AQ82)</f>
        <v>0</v>
      </c>
      <c r="G67" s="130">
        <f t="shared" si="16"/>
        <v>0</v>
      </c>
      <c r="H67" s="152"/>
      <c r="I67" s="115">
        <f t="shared" si="17"/>
        <v>0</v>
      </c>
      <c r="J67" s="152"/>
      <c r="K67" s="115">
        <f t="shared" si="18"/>
        <v>0</v>
      </c>
      <c r="L67" s="152"/>
      <c r="M67" s="115">
        <f t="shared" si="19"/>
        <v>0</v>
      </c>
      <c r="N67" s="152"/>
      <c r="O67" s="115">
        <f t="shared" si="20"/>
        <v>0</v>
      </c>
      <c r="P67" s="152"/>
      <c r="Q67" s="115">
        <f t="shared" si="21"/>
        <v>0</v>
      </c>
      <c r="R67" s="149"/>
      <c r="S67" s="113">
        <f t="shared" si="22"/>
        <v>0</v>
      </c>
    </row>
    <row r="68" spans="1:19" s="58" customFormat="1" ht="12.75">
      <c r="A68" s="127">
        <f t="shared" si="23"/>
        <v>9</v>
      </c>
      <c r="B68" s="128">
        <f>LOOKUP($A68,Quantities!$T67:$T82,Quantities!AE67:AE82)</f>
      </c>
      <c r="C68" s="128">
        <f>LOOKUP($A68,Quantities!$T67:$T82,Quantities!AF67:AF82)</f>
      </c>
      <c r="D68" s="128">
        <f>LOOKUP($A68,Quantities!$T67:$T82,Quantities!AG67:AG82)</f>
      </c>
      <c r="E68" s="128">
        <f>LOOKUP($A68,Quantities!$T67:$T82,Quantities!AR67:AR82)</f>
      </c>
      <c r="F68" s="129">
        <f>LOOKUP($A68,Quantities!$T67:$T82,Quantities!AQ67:AQ82)</f>
        <v>0</v>
      </c>
      <c r="G68" s="130">
        <f t="shared" si="16"/>
        <v>0</v>
      </c>
      <c r="H68" s="152"/>
      <c r="I68" s="115">
        <f t="shared" si="17"/>
        <v>0</v>
      </c>
      <c r="J68" s="152"/>
      <c r="K68" s="115">
        <f t="shared" si="18"/>
        <v>0</v>
      </c>
      <c r="L68" s="152"/>
      <c r="M68" s="115">
        <f t="shared" si="19"/>
        <v>0</v>
      </c>
      <c r="N68" s="152"/>
      <c r="O68" s="115">
        <f t="shared" si="20"/>
        <v>0</v>
      </c>
      <c r="P68" s="152"/>
      <c r="Q68" s="115">
        <f t="shared" si="21"/>
        <v>0</v>
      </c>
      <c r="R68" s="149"/>
      <c r="S68" s="113">
        <f t="shared" si="22"/>
        <v>0</v>
      </c>
    </row>
    <row r="69" spans="1:19" s="58" customFormat="1" ht="12.75">
      <c r="A69" s="127">
        <f t="shared" si="23"/>
        <v>10</v>
      </c>
      <c r="B69" s="128">
        <f>LOOKUP($A69,Quantities!$T67:$T82,Quantities!AE67:AE82)</f>
      </c>
      <c r="C69" s="128">
        <f>LOOKUP($A69,Quantities!$T67:$T82,Quantities!AF67:AF82)</f>
      </c>
      <c r="D69" s="128">
        <f>LOOKUP($A69,Quantities!$T67:$T82,Quantities!AG67:AG82)</f>
      </c>
      <c r="E69" s="128">
        <f>LOOKUP($A69,Quantities!$T67:$T82,Quantities!AR67:AR82)</f>
      </c>
      <c r="F69" s="129">
        <f>LOOKUP($A69,Quantities!$T67:$T82,Quantities!AQ67:AQ82)</f>
        <v>0</v>
      </c>
      <c r="G69" s="130">
        <f t="shared" si="16"/>
        <v>0</v>
      </c>
      <c r="H69" s="152"/>
      <c r="I69" s="115">
        <f t="shared" si="17"/>
        <v>0</v>
      </c>
      <c r="J69" s="152"/>
      <c r="K69" s="115">
        <f t="shared" si="18"/>
        <v>0</v>
      </c>
      <c r="L69" s="152"/>
      <c r="M69" s="115">
        <f t="shared" si="19"/>
        <v>0</v>
      </c>
      <c r="N69" s="152"/>
      <c r="O69" s="115">
        <f t="shared" si="20"/>
        <v>0</v>
      </c>
      <c r="P69" s="152"/>
      <c r="Q69" s="115">
        <f t="shared" si="21"/>
        <v>0</v>
      </c>
      <c r="R69" s="149"/>
      <c r="S69" s="113">
        <f t="shared" si="22"/>
        <v>0</v>
      </c>
    </row>
    <row r="70" spans="1:19" s="58" customFormat="1" ht="12.75">
      <c r="A70" s="127">
        <f t="shared" si="23"/>
        <v>11</v>
      </c>
      <c r="B70" s="128">
        <f>LOOKUP($A70,Quantities!$T67:$T82,Quantities!AE67:AE82)</f>
      </c>
      <c r="C70" s="128">
        <f>LOOKUP($A70,Quantities!$T67:$T82,Quantities!AF67:AF82)</f>
      </c>
      <c r="D70" s="128">
        <f>LOOKUP($A70,Quantities!$T67:$T82,Quantities!AG67:AG82)</f>
      </c>
      <c r="E70" s="128">
        <f>LOOKUP($A70,Quantities!$T67:$T82,Quantities!AR67:AR82)</f>
      </c>
      <c r="F70" s="129">
        <f>LOOKUP($A70,Quantities!$T67:$T82,Quantities!AQ67:AQ82)</f>
        <v>0</v>
      </c>
      <c r="G70" s="130">
        <f t="shared" si="16"/>
        <v>0</v>
      </c>
      <c r="H70" s="152"/>
      <c r="I70" s="115">
        <f t="shared" si="17"/>
        <v>0</v>
      </c>
      <c r="J70" s="152"/>
      <c r="K70" s="115">
        <f t="shared" si="18"/>
        <v>0</v>
      </c>
      <c r="L70" s="152"/>
      <c r="M70" s="115">
        <f t="shared" si="19"/>
        <v>0</v>
      </c>
      <c r="N70" s="152"/>
      <c r="O70" s="115">
        <f t="shared" si="20"/>
        <v>0</v>
      </c>
      <c r="P70" s="152"/>
      <c r="Q70" s="115">
        <f t="shared" si="21"/>
        <v>0</v>
      </c>
      <c r="R70" s="149"/>
      <c r="S70" s="113">
        <f t="shared" si="22"/>
        <v>0</v>
      </c>
    </row>
    <row r="71" spans="1:19" s="58" customFormat="1" ht="12.75">
      <c r="A71" s="127">
        <f t="shared" si="23"/>
        <v>12</v>
      </c>
      <c r="B71" s="128">
        <f>LOOKUP($A71,Quantities!$T67:$T82,Quantities!AE67:AE82)</f>
      </c>
      <c r="C71" s="128">
        <f>LOOKUP($A71,Quantities!$T67:$T82,Quantities!AF67:AF82)</f>
      </c>
      <c r="D71" s="128">
        <f>LOOKUP($A71,Quantities!$T67:$T82,Quantities!AG67:AG82)</f>
      </c>
      <c r="E71" s="128">
        <f>LOOKUP($A71,Quantities!$T67:$T82,Quantities!AR67:AR82)</f>
      </c>
      <c r="F71" s="129">
        <f>LOOKUP($A71,Quantities!$T67:$T82,Quantities!AQ67:AQ82)</f>
        <v>0</v>
      </c>
      <c r="G71" s="130">
        <f t="shared" si="16"/>
        <v>0</v>
      </c>
      <c r="H71" s="152"/>
      <c r="I71" s="115">
        <f t="shared" si="17"/>
        <v>0</v>
      </c>
      <c r="J71" s="152"/>
      <c r="K71" s="115">
        <f t="shared" si="18"/>
        <v>0</v>
      </c>
      <c r="L71" s="152"/>
      <c r="M71" s="115">
        <f t="shared" si="19"/>
        <v>0</v>
      </c>
      <c r="N71" s="152"/>
      <c r="O71" s="115">
        <f t="shared" si="20"/>
        <v>0</v>
      </c>
      <c r="P71" s="152"/>
      <c r="Q71" s="115">
        <f t="shared" si="21"/>
        <v>0</v>
      </c>
      <c r="R71" s="149"/>
      <c r="S71" s="113">
        <f t="shared" si="22"/>
        <v>0</v>
      </c>
    </row>
    <row r="72" spans="1:19" s="58" customFormat="1" ht="12.75">
      <c r="A72" s="127">
        <f t="shared" si="23"/>
        <v>13</v>
      </c>
      <c r="B72" s="128">
        <f>LOOKUP($A72,Quantities!$T67:$T82,Quantities!AE67:AE82)</f>
      </c>
      <c r="C72" s="128">
        <f>LOOKUP($A72,Quantities!$T67:$T82,Quantities!AF67:AF82)</f>
      </c>
      <c r="D72" s="128">
        <f>LOOKUP($A72,Quantities!$T67:$T82,Quantities!AG67:AG82)</f>
      </c>
      <c r="E72" s="128">
        <f>LOOKUP($A72,Quantities!$T67:$T82,Quantities!AR67:AR82)</f>
      </c>
      <c r="F72" s="129">
        <f>LOOKUP($A72,Quantities!$T67:$T82,Quantities!AQ67:AQ82)</f>
        <v>0</v>
      </c>
      <c r="G72" s="130">
        <f t="shared" si="16"/>
        <v>0</v>
      </c>
      <c r="H72" s="152"/>
      <c r="I72" s="115">
        <f t="shared" si="17"/>
        <v>0</v>
      </c>
      <c r="J72" s="152"/>
      <c r="K72" s="115">
        <f t="shared" si="18"/>
        <v>0</v>
      </c>
      <c r="L72" s="152"/>
      <c r="M72" s="115">
        <f t="shared" si="19"/>
        <v>0</v>
      </c>
      <c r="N72" s="152"/>
      <c r="O72" s="115">
        <f t="shared" si="20"/>
        <v>0</v>
      </c>
      <c r="P72" s="152"/>
      <c r="Q72" s="115">
        <f t="shared" si="21"/>
        <v>0</v>
      </c>
      <c r="R72" s="149"/>
      <c r="S72" s="113">
        <f t="shared" si="22"/>
        <v>0</v>
      </c>
    </row>
    <row r="73" spans="1:19" s="58" customFormat="1" ht="12.75">
      <c r="A73" s="127">
        <f t="shared" si="23"/>
        <v>14</v>
      </c>
      <c r="B73" s="128">
        <f>LOOKUP($A73,Quantities!$T67:$T82,Quantities!AE67:AE82)</f>
      </c>
      <c r="C73" s="128">
        <f>LOOKUP($A73,Quantities!$T67:$T82,Quantities!AF67:AF82)</f>
      </c>
      <c r="D73" s="128">
        <f>LOOKUP($A73,Quantities!$T67:$T82,Quantities!AG67:AG82)</f>
      </c>
      <c r="E73" s="128">
        <f>LOOKUP($A73,Quantities!$T67:$T82,Quantities!AR67:AR82)</f>
      </c>
      <c r="F73" s="129">
        <f>LOOKUP($A73,Quantities!$T67:$T82,Quantities!AQ67:AQ82)</f>
        <v>0</v>
      </c>
      <c r="G73" s="130">
        <f t="shared" si="16"/>
        <v>0</v>
      </c>
      <c r="H73" s="152"/>
      <c r="I73" s="115">
        <f t="shared" si="17"/>
        <v>0</v>
      </c>
      <c r="J73" s="152"/>
      <c r="K73" s="115">
        <f t="shared" si="18"/>
        <v>0</v>
      </c>
      <c r="L73" s="152"/>
      <c r="M73" s="115">
        <f t="shared" si="19"/>
        <v>0</v>
      </c>
      <c r="N73" s="152"/>
      <c r="O73" s="115">
        <f t="shared" si="20"/>
        <v>0</v>
      </c>
      <c r="P73" s="152"/>
      <c r="Q73" s="115">
        <f t="shared" si="21"/>
        <v>0</v>
      </c>
      <c r="R73" s="149"/>
      <c r="S73" s="113">
        <f t="shared" si="22"/>
        <v>0</v>
      </c>
    </row>
    <row r="74" spans="1:19" s="59" customFormat="1" ht="12.75">
      <c r="A74" s="127">
        <f t="shared" si="23"/>
        <v>15</v>
      </c>
      <c r="B74" s="128">
        <f>LOOKUP($A74,Quantities!$T67:$T82,Quantities!AE67:AE82)</f>
      </c>
      <c r="C74" s="128">
        <f>LOOKUP($A74,Quantities!$T67:$T82,Quantities!AF67:AF82)</f>
      </c>
      <c r="D74" s="128">
        <f>LOOKUP($A74,Quantities!$T67:$T82,Quantities!AG67:AG82)</f>
      </c>
      <c r="E74" s="128">
        <f>LOOKUP($A74,Quantities!$T67:$T82,Quantities!AR67:AR82)</f>
      </c>
      <c r="F74" s="129">
        <f>LOOKUP($A74,Quantities!$T67:$T82,Quantities!AQ67:AQ82)</f>
        <v>0</v>
      </c>
      <c r="G74" s="130">
        <f t="shared" si="16"/>
        <v>0</v>
      </c>
      <c r="H74" s="152"/>
      <c r="I74" s="115">
        <f t="shared" si="17"/>
        <v>0</v>
      </c>
      <c r="J74" s="152"/>
      <c r="K74" s="115">
        <f t="shared" si="18"/>
        <v>0</v>
      </c>
      <c r="L74" s="152"/>
      <c r="M74" s="115">
        <f t="shared" si="19"/>
        <v>0</v>
      </c>
      <c r="N74" s="152"/>
      <c r="O74" s="115">
        <f t="shared" si="20"/>
        <v>0</v>
      </c>
      <c r="P74" s="152"/>
      <c r="Q74" s="115">
        <f t="shared" si="21"/>
        <v>0</v>
      </c>
      <c r="R74" s="149"/>
      <c r="S74" s="113">
        <f t="shared" si="22"/>
        <v>0</v>
      </c>
    </row>
    <row r="75" spans="1:19" s="59" customFormat="1" ht="12.75">
      <c r="A75" s="127">
        <f t="shared" si="23"/>
        <v>16</v>
      </c>
      <c r="B75" s="128">
        <f>LOOKUP($A75,Quantities!$T67:$T82,Quantities!AE67:AE82)</f>
      </c>
      <c r="C75" s="128">
        <f>LOOKUP($A75,Quantities!$T67:$T82,Quantities!AF67:AF82)</f>
      </c>
      <c r="D75" s="128">
        <f>LOOKUP($A75,Quantities!$T67:$T82,Quantities!AG67:AG82)</f>
      </c>
      <c r="E75" s="128">
        <f>LOOKUP($A75,Quantities!$T67:$T82,Quantities!AR67:AR82)</f>
      </c>
      <c r="F75" s="129">
        <f>LOOKUP($A75,Quantities!$T67:$T82,Quantities!AQ67:AQ82)</f>
        <v>0</v>
      </c>
      <c r="G75" s="130">
        <f t="shared" si="16"/>
        <v>0</v>
      </c>
      <c r="H75" s="152"/>
      <c r="I75" s="115">
        <f t="shared" si="17"/>
        <v>0</v>
      </c>
      <c r="J75" s="152"/>
      <c r="K75" s="115">
        <f t="shared" si="18"/>
        <v>0</v>
      </c>
      <c r="L75" s="152"/>
      <c r="M75" s="115">
        <f t="shared" si="19"/>
        <v>0</v>
      </c>
      <c r="N75" s="152"/>
      <c r="O75" s="115">
        <f t="shared" si="20"/>
        <v>0</v>
      </c>
      <c r="P75" s="152"/>
      <c r="Q75" s="115">
        <f t="shared" si="21"/>
        <v>0</v>
      </c>
      <c r="R75" s="149"/>
      <c r="S75" s="113">
        <f t="shared" si="22"/>
        <v>0</v>
      </c>
    </row>
    <row r="76" spans="1:19" ht="13.5" thickBot="1">
      <c r="A76" s="131"/>
      <c r="B76" s="132"/>
      <c r="C76" s="132"/>
      <c r="D76" s="132"/>
      <c r="E76" s="133" t="s">
        <v>129</v>
      </c>
      <c r="F76" s="134"/>
      <c r="G76" s="135">
        <f>SUM(G60:G75)</f>
        <v>36530</v>
      </c>
      <c r="H76" s="153"/>
      <c r="I76" s="116">
        <f>SUM(I60:I75)</f>
        <v>0</v>
      </c>
      <c r="J76" s="153"/>
      <c r="K76" s="116">
        <f>SUM(K60:K75)</f>
        <v>0</v>
      </c>
      <c r="L76" s="153"/>
      <c r="M76" s="116">
        <f>SUM(M60:M75)</f>
        <v>0</v>
      </c>
      <c r="N76" s="153"/>
      <c r="O76" s="116">
        <f>SUM(O60:O75)</f>
        <v>0</v>
      </c>
      <c r="P76" s="153"/>
      <c r="Q76" s="116">
        <f>SUM(Q60:Q75)</f>
        <v>0</v>
      </c>
      <c r="R76" s="150"/>
      <c r="S76" s="114">
        <f>SUM(S60:S75)</f>
        <v>0</v>
      </c>
    </row>
    <row r="77" ht="11.25" customHeight="1"/>
    <row r="78" spans="1:7" s="44" customFormat="1" ht="12.75">
      <c r="A78" s="43" t="str">
        <f>Quantities!C97</f>
        <v>Road 17D b/ 424- Road L</v>
      </c>
      <c r="F78" s="45"/>
      <c r="G78" s="45"/>
    </row>
    <row r="79" spans="1:7" s="38" customFormat="1" ht="12.75">
      <c r="A79" s="44" t="str">
        <f>Quantities!AB115</f>
        <v>Length:  1705 Feet or 0.32 Mile(s)</v>
      </c>
      <c r="B79" s="46"/>
      <c r="C79" s="44"/>
      <c r="D79" s="47"/>
      <c r="F79" s="48"/>
      <c r="G79" s="48"/>
    </row>
    <row r="80" spans="1:7" s="38" customFormat="1" ht="12.75">
      <c r="A80" s="44" t="str">
        <f>Quantities!AB116</f>
        <v>Width:  19.5 Feet     (Approx. 3735 S.Y. including radius and driveway work)</v>
      </c>
      <c r="B80" s="44"/>
      <c r="C80" s="46"/>
      <c r="D80" s="49"/>
      <c r="F80" s="48"/>
      <c r="G80" s="48"/>
    </row>
    <row r="81" spans="1:7" s="38" customFormat="1" ht="13.5" thickBot="1">
      <c r="A81" s="44" t="str">
        <f>Quantities!AB117</f>
        <v>Type: ODOT Spec 823 </v>
      </c>
      <c r="B81" s="50"/>
      <c r="C81" s="50"/>
      <c r="D81" s="50"/>
      <c r="F81" s="48"/>
      <c r="G81" s="48"/>
    </row>
    <row r="82" spans="1:19" s="38" customFormat="1" ht="12.75">
      <c r="A82" s="136"/>
      <c r="B82" s="137"/>
      <c r="C82" s="138"/>
      <c r="D82" s="138"/>
      <c r="E82" s="139"/>
      <c r="F82" s="177" t="s">
        <v>150</v>
      </c>
      <c r="G82" s="178"/>
      <c r="H82" s="180" t="s">
        <v>151</v>
      </c>
      <c r="I82" s="181"/>
      <c r="J82" s="179" t="s">
        <v>152</v>
      </c>
      <c r="K82" s="179"/>
      <c r="L82" s="179" t="s">
        <v>153</v>
      </c>
      <c r="M82" s="179"/>
      <c r="N82" s="179" t="s">
        <v>154</v>
      </c>
      <c r="O82" s="179"/>
      <c r="P82" s="179" t="s">
        <v>155</v>
      </c>
      <c r="Q82" s="181"/>
      <c r="R82" s="182" t="s">
        <v>156</v>
      </c>
      <c r="S82" s="183"/>
    </row>
    <row r="83" spans="1:19" s="38" customFormat="1" ht="13.5" thickBot="1">
      <c r="A83" s="140" t="s">
        <v>1</v>
      </c>
      <c r="B83" s="141" t="s">
        <v>2</v>
      </c>
      <c r="C83" s="141" t="s">
        <v>36</v>
      </c>
      <c r="D83" s="141" t="s">
        <v>3</v>
      </c>
      <c r="E83" s="142" t="s">
        <v>4</v>
      </c>
      <c r="F83" s="143" t="s">
        <v>5</v>
      </c>
      <c r="G83" s="144" t="s">
        <v>6</v>
      </c>
      <c r="H83" s="119" t="s">
        <v>5</v>
      </c>
      <c r="I83" s="120" t="s">
        <v>6</v>
      </c>
      <c r="J83" s="119" t="s">
        <v>5</v>
      </c>
      <c r="K83" s="120" t="s">
        <v>6</v>
      </c>
      <c r="L83" s="119" t="s">
        <v>5</v>
      </c>
      <c r="M83" s="120" t="s">
        <v>6</v>
      </c>
      <c r="N83" s="119" t="s">
        <v>5</v>
      </c>
      <c r="O83" s="120" t="s">
        <v>6</v>
      </c>
      <c r="P83" s="119" t="s">
        <v>5</v>
      </c>
      <c r="Q83" s="120" t="s">
        <v>6</v>
      </c>
      <c r="R83" s="121" t="s">
        <v>5</v>
      </c>
      <c r="S83" s="122" t="s">
        <v>6</v>
      </c>
    </row>
    <row r="84" spans="1:19" s="58" customFormat="1" ht="13.5" thickTop="1">
      <c r="A84" s="123">
        <f>A60</f>
        <v>1</v>
      </c>
      <c r="B84" s="124">
        <f>LOOKUP($A84,Quantities!$T98:$T113,Quantities!AE98:AE113)</f>
        <v>407</v>
      </c>
      <c r="C84" s="124">
        <f>LOOKUP($A84,Quantities!$T98:$T113,Quantities!AF98:AF113)</f>
        <v>185</v>
      </c>
      <c r="D84" s="124" t="str">
        <f>LOOKUP($A84,Quantities!$T98:$T113,Quantities!AG98:AG113)</f>
        <v>Gal</v>
      </c>
      <c r="E84" s="124" t="str">
        <f>LOOKUP($A84,Quantities!$T98:$T113,Quantities!AR98:AR113)</f>
        <v>Bituminous Tack Coat applied at 0.05 gallons per square yard</v>
      </c>
      <c r="F84" s="125">
        <f>LOOKUP($A84,Quantities!$T98:$T113,Quantities!AQ98:AQ113)</f>
        <v>2.1</v>
      </c>
      <c r="G84" s="126">
        <f aca="true" t="shared" si="24" ref="G84:G99">IF(C84="",0,F84*C84)</f>
        <v>388.5</v>
      </c>
      <c r="H84" s="151"/>
      <c r="I84" s="117">
        <f aca="true" t="shared" si="25" ref="I84:I99">IF($C84="",0,H84*$C84)</f>
        <v>0</v>
      </c>
      <c r="J84" s="151"/>
      <c r="K84" s="117">
        <f aca="true" t="shared" si="26" ref="K84:K147">IF($C84="",0,J84*$C84)</f>
        <v>0</v>
      </c>
      <c r="L84" s="151"/>
      <c r="M84" s="117">
        <f aca="true" t="shared" si="27" ref="M84:M147">IF($C84="",0,L84*$C84)</f>
        <v>0</v>
      </c>
      <c r="N84" s="151"/>
      <c r="O84" s="117">
        <f aca="true" t="shared" si="28" ref="O84:O147">IF($C84="",0,N84*$C84)</f>
        <v>0</v>
      </c>
      <c r="P84" s="151"/>
      <c r="Q84" s="117">
        <f aca="true" t="shared" si="29" ref="Q84:Q147">IF($C84="",0,P84*$C84)</f>
        <v>0</v>
      </c>
      <c r="R84" s="148"/>
      <c r="S84" s="118">
        <f aca="true" t="shared" si="30" ref="S84:S147">IF($C84="",0,R84*$C84)</f>
        <v>0</v>
      </c>
    </row>
    <row r="85" spans="1:19" s="58" customFormat="1" ht="38.25">
      <c r="A85" s="127">
        <f aca="true" t="shared" si="31" ref="A85:A99">A84+1</f>
        <v>2</v>
      </c>
      <c r="B85" s="128">
        <f>LOOKUP($A85,Quantities!$T98:$T113,Quantities!AE98:AE113)</f>
        <v>823</v>
      </c>
      <c r="C85" s="128">
        <f>LOOKUP($A85,Quantities!$T98:$T113,Quantities!AF98:AF113)</f>
        <v>156</v>
      </c>
      <c r="D85" s="128" t="str">
        <f>LOOKUP($A85,Quantities!$T98:$T113,Quantities!AG98:AG113)</f>
        <v>C.Y.</v>
      </c>
      <c r="E85" s="128" t="str">
        <f>LOOKUP($A85,Quantities!$T98:$T113,Quantities!AR98:AR113)</f>
        <v>Asphalt concrete surface course PG 64-22, Type 1 (823) applied, spread and compacted at the average depth of 1.5 inches</v>
      </c>
      <c r="F85" s="129">
        <f>LOOKUP($A85,Quantities!$T98:$T113,Quantities!AQ98:AQ113)</f>
        <v>185</v>
      </c>
      <c r="G85" s="130">
        <f t="shared" si="24"/>
        <v>28860</v>
      </c>
      <c r="H85" s="152"/>
      <c r="I85" s="115">
        <f t="shared" si="25"/>
        <v>0</v>
      </c>
      <c r="J85" s="152"/>
      <c r="K85" s="115">
        <f t="shared" si="26"/>
        <v>0</v>
      </c>
      <c r="L85" s="152"/>
      <c r="M85" s="115">
        <f t="shared" si="27"/>
        <v>0</v>
      </c>
      <c r="N85" s="152"/>
      <c r="O85" s="115">
        <f t="shared" si="28"/>
        <v>0</v>
      </c>
      <c r="P85" s="152"/>
      <c r="Q85" s="115">
        <f t="shared" si="29"/>
        <v>0</v>
      </c>
      <c r="R85" s="149"/>
      <c r="S85" s="113">
        <f t="shared" si="30"/>
        <v>0</v>
      </c>
    </row>
    <row r="86" spans="1:19" s="58" customFormat="1" ht="12.75">
      <c r="A86" s="127">
        <f t="shared" si="31"/>
        <v>3</v>
      </c>
      <c r="B86" s="128">
        <f>LOOKUP($A86,Quantities!$T98:$T113,Quantities!AE98:AE113)</f>
        <v>254</v>
      </c>
      <c r="C86" s="128">
        <f>LOOKUP($A86,Quantities!$T98:$T113,Quantities!AF98:AF113)</f>
        <v>375</v>
      </c>
      <c r="D86" s="128" t="str">
        <f>LOOKUP($A86,Quantities!$T98:$T113,Quantities!AG98:AG113)</f>
        <v>S.Y.</v>
      </c>
      <c r="E86" s="128" t="str">
        <f>LOOKUP($A86,Quantities!$T98:$T113,Quantities!AR98:AR113)</f>
        <v>Pavement Planing (20' length including radius)</v>
      </c>
      <c r="F86" s="129">
        <f>LOOKUP($A86,Quantities!$T98:$T113,Quantities!AQ98:AQ113)</f>
        <v>12</v>
      </c>
      <c r="G86" s="130">
        <f t="shared" si="24"/>
        <v>4500</v>
      </c>
      <c r="H86" s="152"/>
      <c r="I86" s="115">
        <f t="shared" si="25"/>
        <v>0</v>
      </c>
      <c r="J86" s="152"/>
      <c r="K86" s="115">
        <f t="shared" si="26"/>
        <v>0</v>
      </c>
      <c r="L86" s="152"/>
      <c r="M86" s="115">
        <f t="shared" si="27"/>
        <v>0</v>
      </c>
      <c r="N86" s="152"/>
      <c r="O86" s="115">
        <f t="shared" si="28"/>
        <v>0</v>
      </c>
      <c r="P86" s="152"/>
      <c r="Q86" s="115">
        <f t="shared" si="29"/>
        <v>0</v>
      </c>
      <c r="R86" s="149"/>
      <c r="S86" s="113">
        <f t="shared" si="30"/>
        <v>0</v>
      </c>
    </row>
    <row r="87" spans="1:19" s="59" customFormat="1" ht="12.75">
      <c r="A87" s="127">
        <f t="shared" si="31"/>
        <v>4</v>
      </c>
      <c r="B87" s="128">
        <f>LOOKUP($A87,Quantities!$T98:$T113,Quantities!AE98:AE113)</f>
        <v>614</v>
      </c>
      <c r="C87" s="128">
        <f>LOOKUP($A87,Quantities!$T98:$T113,Quantities!AF98:AF113)</f>
        <v>1</v>
      </c>
      <c r="D87" s="128" t="str">
        <f>LOOKUP($A87,Quantities!$T98:$T113,Quantities!AG98:AG113)</f>
        <v>L.S.</v>
      </c>
      <c r="E87" s="128" t="str">
        <f>LOOKUP($A87,Quantities!$T98:$T113,Quantities!AR98:AR113)</f>
        <v>Maintaining Traffic</v>
      </c>
      <c r="F87" s="129">
        <f>LOOKUP($A87,Quantities!$T98:$T113,Quantities!AQ98:AQ113)</f>
        <v>3000</v>
      </c>
      <c r="G87" s="130">
        <f t="shared" si="24"/>
        <v>3000</v>
      </c>
      <c r="H87" s="152"/>
      <c r="I87" s="115">
        <f t="shared" si="25"/>
        <v>0</v>
      </c>
      <c r="J87" s="152"/>
      <c r="K87" s="115">
        <f t="shared" si="26"/>
        <v>0</v>
      </c>
      <c r="L87" s="152"/>
      <c r="M87" s="115">
        <f t="shared" si="27"/>
        <v>0</v>
      </c>
      <c r="N87" s="152"/>
      <c r="O87" s="115">
        <f t="shared" si="28"/>
        <v>0</v>
      </c>
      <c r="P87" s="152"/>
      <c r="Q87" s="115">
        <f t="shared" si="29"/>
        <v>0</v>
      </c>
      <c r="R87" s="149"/>
      <c r="S87" s="113">
        <f t="shared" si="30"/>
        <v>0</v>
      </c>
    </row>
    <row r="88" spans="1:19" s="58" customFormat="1" ht="12.75">
      <c r="A88" s="127">
        <f t="shared" si="31"/>
        <v>5</v>
      </c>
      <c r="B88" s="128">
        <f>LOOKUP($A88,Quantities!$T98:$T113,Quantities!AE98:AE113)</f>
        <v>624</v>
      </c>
      <c r="C88" s="128">
        <f>LOOKUP($A88,Quantities!$T98:$T113,Quantities!AF98:AF113)</f>
        <v>1</v>
      </c>
      <c r="D88" s="128" t="str">
        <f>LOOKUP($A88,Quantities!$T98:$T113,Quantities!AG98:AG113)</f>
        <v>L.S.</v>
      </c>
      <c r="E88" s="128" t="str">
        <f>LOOKUP($A88,Quantities!$T98:$T113,Quantities!AR98:AR113)</f>
        <v>Mobilization</v>
      </c>
      <c r="F88" s="129">
        <f>LOOKUP($A88,Quantities!$T98:$T113,Quantities!AQ98:AQ113)</f>
        <v>1500</v>
      </c>
      <c r="G88" s="130">
        <f t="shared" si="24"/>
        <v>1500</v>
      </c>
      <c r="H88" s="152"/>
      <c r="I88" s="115">
        <f t="shared" si="25"/>
        <v>0</v>
      </c>
      <c r="J88" s="152"/>
      <c r="K88" s="115">
        <f t="shared" si="26"/>
        <v>0</v>
      </c>
      <c r="L88" s="152"/>
      <c r="M88" s="115">
        <f t="shared" si="27"/>
        <v>0</v>
      </c>
      <c r="N88" s="152"/>
      <c r="O88" s="115">
        <f t="shared" si="28"/>
        <v>0</v>
      </c>
      <c r="P88" s="152"/>
      <c r="Q88" s="115">
        <f t="shared" si="29"/>
        <v>0</v>
      </c>
      <c r="R88" s="149"/>
      <c r="S88" s="113">
        <f t="shared" si="30"/>
        <v>0</v>
      </c>
    </row>
    <row r="89" spans="1:19" s="58" customFormat="1" ht="12.75">
      <c r="A89" s="127">
        <f t="shared" si="31"/>
        <v>6</v>
      </c>
      <c r="B89" s="128">
        <f>LOOKUP($A89,Quantities!$T98:$T113,Quantities!AE98:AE113)</f>
        <v>103.05</v>
      </c>
      <c r="C89" s="128">
        <f>LOOKUP($A89,Quantities!$T98:$T113,Quantities!AF98:AF113)</f>
        <v>1</v>
      </c>
      <c r="D89" s="128" t="str">
        <f>LOOKUP($A89,Quantities!$T98:$T113,Quantities!AG98:AG113)</f>
        <v>L.S.</v>
      </c>
      <c r="E89" s="128" t="str">
        <f>LOOKUP($A89,Quantities!$T98:$T113,Quantities!AR98:AR113)</f>
        <v>Contract Performance &amp; Payment Bond</v>
      </c>
      <c r="F89" s="129">
        <f>LOOKUP($A89,Quantities!$T98:$T113,Quantities!AQ98:AQ113)</f>
        <v>901.5</v>
      </c>
      <c r="G89" s="130">
        <f t="shared" si="24"/>
        <v>901.5</v>
      </c>
      <c r="H89" s="152"/>
      <c r="I89" s="115">
        <f t="shared" si="25"/>
        <v>0</v>
      </c>
      <c r="J89" s="152"/>
      <c r="K89" s="115">
        <f t="shared" si="26"/>
        <v>0</v>
      </c>
      <c r="L89" s="152"/>
      <c r="M89" s="115">
        <f t="shared" si="27"/>
        <v>0</v>
      </c>
      <c r="N89" s="152"/>
      <c r="O89" s="115">
        <f t="shared" si="28"/>
        <v>0</v>
      </c>
      <c r="P89" s="152"/>
      <c r="Q89" s="115">
        <f t="shared" si="29"/>
        <v>0</v>
      </c>
      <c r="R89" s="149"/>
      <c r="S89" s="113">
        <f t="shared" si="30"/>
        <v>0</v>
      </c>
    </row>
    <row r="90" spans="1:19" s="58" customFormat="1" ht="12.75">
      <c r="A90" s="127">
        <f t="shared" si="31"/>
        <v>7</v>
      </c>
      <c r="B90" s="128">
        <f>LOOKUP($A90,Quantities!$T98:$T113,Quantities!AE98:AE113)</f>
      </c>
      <c r="C90" s="128">
        <f>LOOKUP($A90,Quantities!$T98:$T113,Quantities!AF98:AF113)</f>
      </c>
      <c r="D90" s="128">
        <f>LOOKUP($A90,Quantities!$T98:$T113,Quantities!AG98:AG113)</f>
      </c>
      <c r="E90" s="128">
        <f>LOOKUP($A90,Quantities!$T98:$T113,Quantities!AR98:AR113)</f>
      </c>
      <c r="F90" s="129">
        <f>LOOKUP($A90,Quantities!$T98:$T113,Quantities!AQ98:AQ113)</f>
        <v>0</v>
      </c>
      <c r="G90" s="130">
        <f t="shared" si="24"/>
        <v>0</v>
      </c>
      <c r="H90" s="152"/>
      <c r="I90" s="115">
        <f t="shared" si="25"/>
        <v>0</v>
      </c>
      <c r="J90" s="152"/>
      <c r="K90" s="115">
        <f t="shared" si="26"/>
        <v>0</v>
      </c>
      <c r="L90" s="152"/>
      <c r="M90" s="115">
        <f t="shared" si="27"/>
        <v>0</v>
      </c>
      <c r="N90" s="152"/>
      <c r="O90" s="115">
        <f t="shared" si="28"/>
        <v>0</v>
      </c>
      <c r="P90" s="152"/>
      <c r="Q90" s="115">
        <f t="shared" si="29"/>
        <v>0</v>
      </c>
      <c r="R90" s="149"/>
      <c r="S90" s="113">
        <f t="shared" si="30"/>
        <v>0</v>
      </c>
    </row>
    <row r="91" spans="1:19" s="58" customFormat="1" ht="12.75">
      <c r="A91" s="127">
        <f t="shared" si="31"/>
        <v>8</v>
      </c>
      <c r="B91" s="128">
        <f>LOOKUP($A91,Quantities!$T98:$T113,Quantities!AE98:AE113)</f>
      </c>
      <c r="C91" s="128">
        <f>LOOKUP($A91,Quantities!$T98:$T113,Quantities!AF98:AF113)</f>
      </c>
      <c r="D91" s="128">
        <f>LOOKUP($A91,Quantities!$T98:$T113,Quantities!AG98:AG113)</f>
      </c>
      <c r="E91" s="128">
        <f>LOOKUP($A91,Quantities!$T98:$T113,Quantities!AR98:AR113)</f>
      </c>
      <c r="F91" s="129">
        <f>LOOKUP($A91,Quantities!$T98:$T113,Quantities!AQ98:AQ113)</f>
        <v>0</v>
      </c>
      <c r="G91" s="130">
        <f t="shared" si="24"/>
        <v>0</v>
      </c>
      <c r="H91" s="152"/>
      <c r="I91" s="115">
        <f t="shared" si="25"/>
        <v>0</v>
      </c>
      <c r="J91" s="152"/>
      <c r="K91" s="115">
        <f t="shared" si="26"/>
        <v>0</v>
      </c>
      <c r="L91" s="152"/>
      <c r="M91" s="115">
        <f t="shared" si="27"/>
        <v>0</v>
      </c>
      <c r="N91" s="152"/>
      <c r="O91" s="115">
        <f t="shared" si="28"/>
        <v>0</v>
      </c>
      <c r="P91" s="152"/>
      <c r="Q91" s="115">
        <f t="shared" si="29"/>
        <v>0</v>
      </c>
      <c r="R91" s="149"/>
      <c r="S91" s="113">
        <f t="shared" si="30"/>
        <v>0</v>
      </c>
    </row>
    <row r="92" spans="1:19" s="58" customFormat="1" ht="12.75">
      <c r="A92" s="127">
        <f t="shared" si="31"/>
        <v>9</v>
      </c>
      <c r="B92" s="128">
        <f>LOOKUP($A92,Quantities!$T98:$T113,Quantities!AE98:AE113)</f>
      </c>
      <c r="C92" s="128">
        <f>LOOKUP($A92,Quantities!$T98:$T113,Quantities!AF98:AF113)</f>
      </c>
      <c r="D92" s="128">
        <f>LOOKUP($A92,Quantities!$T98:$T113,Quantities!AG98:AG113)</f>
      </c>
      <c r="E92" s="128">
        <f>LOOKUP($A92,Quantities!$T98:$T113,Quantities!AR98:AR113)</f>
      </c>
      <c r="F92" s="129">
        <f>LOOKUP($A92,Quantities!$T98:$T113,Quantities!AQ98:AQ113)</f>
        <v>0</v>
      </c>
      <c r="G92" s="130">
        <f t="shared" si="24"/>
        <v>0</v>
      </c>
      <c r="H92" s="152"/>
      <c r="I92" s="115">
        <f t="shared" si="25"/>
        <v>0</v>
      </c>
      <c r="J92" s="152"/>
      <c r="K92" s="115">
        <f t="shared" si="26"/>
        <v>0</v>
      </c>
      <c r="L92" s="152"/>
      <c r="M92" s="115">
        <f t="shared" si="27"/>
        <v>0</v>
      </c>
      <c r="N92" s="152"/>
      <c r="O92" s="115">
        <f t="shared" si="28"/>
        <v>0</v>
      </c>
      <c r="P92" s="152"/>
      <c r="Q92" s="115">
        <f t="shared" si="29"/>
        <v>0</v>
      </c>
      <c r="R92" s="149"/>
      <c r="S92" s="113">
        <f t="shared" si="30"/>
        <v>0</v>
      </c>
    </row>
    <row r="93" spans="1:19" s="58" customFormat="1" ht="12.75">
      <c r="A93" s="127">
        <f t="shared" si="31"/>
        <v>10</v>
      </c>
      <c r="B93" s="128">
        <f>LOOKUP($A93,Quantities!$T98:$T113,Quantities!AE98:AE113)</f>
      </c>
      <c r="C93" s="128">
        <f>LOOKUP($A93,Quantities!$T98:$T113,Quantities!AF98:AF113)</f>
      </c>
      <c r="D93" s="128">
        <f>LOOKUP($A93,Quantities!$T98:$T113,Quantities!AG98:AG113)</f>
      </c>
      <c r="E93" s="128">
        <f>LOOKUP($A93,Quantities!$T98:$T113,Quantities!AR98:AR113)</f>
      </c>
      <c r="F93" s="129">
        <f>LOOKUP($A93,Quantities!$T98:$T113,Quantities!AQ98:AQ113)</f>
        <v>0</v>
      </c>
      <c r="G93" s="130">
        <f t="shared" si="24"/>
        <v>0</v>
      </c>
      <c r="H93" s="152"/>
      <c r="I93" s="115">
        <f t="shared" si="25"/>
        <v>0</v>
      </c>
      <c r="J93" s="152"/>
      <c r="K93" s="115">
        <f t="shared" si="26"/>
        <v>0</v>
      </c>
      <c r="L93" s="152"/>
      <c r="M93" s="115">
        <f t="shared" si="27"/>
        <v>0</v>
      </c>
      <c r="N93" s="152"/>
      <c r="O93" s="115">
        <f t="shared" si="28"/>
        <v>0</v>
      </c>
      <c r="P93" s="152"/>
      <c r="Q93" s="115">
        <f t="shared" si="29"/>
        <v>0</v>
      </c>
      <c r="R93" s="149"/>
      <c r="S93" s="113">
        <f t="shared" si="30"/>
        <v>0</v>
      </c>
    </row>
    <row r="94" spans="1:19" s="58" customFormat="1" ht="12.75">
      <c r="A94" s="127">
        <f t="shared" si="31"/>
        <v>11</v>
      </c>
      <c r="B94" s="128">
        <f>LOOKUP($A94,Quantities!$T98:$T113,Quantities!AE98:AE113)</f>
      </c>
      <c r="C94" s="128">
        <f>LOOKUP($A94,Quantities!$T98:$T113,Quantities!AF98:AF113)</f>
      </c>
      <c r="D94" s="128">
        <f>LOOKUP($A94,Quantities!$T98:$T113,Quantities!AG98:AG113)</f>
      </c>
      <c r="E94" s="128">
        <f>LOOKUP($A94,Quantities!$T98:$T113,Quantities!AR98:AR113)</f>
      </c>
      <c r="F94" s="129">
        <f>LOOKUP($A94,Quantities!$T98:$T113,Quantities!AQ98:AQ113)</f>
        <v>0</v>
      </c>
      <c r="G94" s="130">
        <f t="shared" si="24"/>
        <v>0</v>
      </c>
      <c r="H94" s="152"/>
      <c r="I94" s="115">
        <f t="shared" si="25"/>
        <v>0</v>
      </c>
      <c r="J94" s="152"/>
      <c r="K94" s="115">
        <f t="shared" si="26"/>
        <v>0</v>
      </c>
      <c r="L94" s="152"/>
      <c r="M94" s="115">
        <f t="shared" si="27"/>
        <v>0</v>
      </c>
      <c r="N94" s="152"/>
      <c r="O94" s="115">
        <f t="shared" si="28"/>
        <v>0</v>
      </c>
      <c r="P94" s="152"/>
      <c r="Q94" s="115">
        <f t="shared" si="29"/>
        <v>0</v>
      </c>
      <c r="R94" s="149"/>
      <c r="S94" s="113">
        <f t="shared" si="30"/>
        <v>0</v>
      </c>
    </row>
    <row r="95" spans="1:19" s="58" customFormat="1" ht="12.75">
      <c r="A95" s="127">
        <f t="shared" si="31"/>
        <v>12</v>
      </c>
      <c r="B95" s="128">
        <f>LOOKUP($A95,Quantities!$T98:$T113,Quantities!AE98:AE113)</f>
      </c>
      <c r="C95" s="128">
        <f>LOOKUP($A95,Quantities!$T98:$T113,Quantities!AF98:AF113)</f>
      </c>
      <c r="D95" s="128">
        <f>LOOKUP($A95,Quantities!$T98:$T113,Quantities!AG98:AG113)</f>
      </c>
      <c r="E95" s="128">
        <f>LOOKUP($A95,Quantities!$T98:$T113,Quantities!AR98:AR113)</f>
      </c>
      <c r="F95" s="129">
        <f>LOOKUP($A95,Quantities!$T98:$T113,Quantities!AQ98:AQ113)</f>
        <v>0</v>
      </c>
      <c r="G95" s="130">
        <f t="shared" si="24"/>
        <v>0</v>
      </c>
      <c r="H95" s="152"/>
      <c r="I95" s="115">
        <f t="shared" si="25"/>
        <v>0</v>
      </c>
      <c r="J95" s="152"/>
      <c r="K95" s="115">
        <f t="shared" si="26"/>
        <v>0</v>
      </c>
      <c r="L95" s="152"/>
      <c r="M95" s="115">
        <f t="shared" si="27"/>
        <v>0</v>
      </c>
      <c r="N95" s="152"/>
      <c r="O95" s="115">
        <f t="shared" si="28"/>
        <v>0</v>
      </c>
      <c r="P95" s="152"/>
      <c r="Q95" s="115">
        <f t="shared" si="29"/>
        <v>0</v>
      </c>
      <c r="R95" s="149"/>
      <c r="S95" s="113">
        <f t="shared" si="30"/>
        <v>0</v>
      </c>
    </row>
    <row r="96" spans="1:19" s="58" customFormat="1" ht="12.75">
      <c r="A96" s="127">
        <f t="shared" si="31"/>
        <v>13</v>
      </c>
      <c r="B96" s="128">
        <f>LOOKUP($A96,Quantities!$T98:$T113,Quantities!AE98:AE113)</f>
      </c>
      <c r="C96" s="128">
        <f>LOOKUP($A96,Quantities!$T98:$T113,Quantities!AF98:AF113)</f>
      </c>
      <c r="D96" s="128">
        <f>LOOKUP($A96,Quantities!$T98:$T113,Quantities!AG98:AG113)</f>
      </c>
      <c r="E96" s="128">
        <f>LOOKUP($A96,Quantities!$T98:$T113,Quantities!AR98:AR113)</f>
      </c>
      <c r="F96" s="129">
        <f>LOOKUP($A96,Quantities!$T98:$T113,Quantities!AQ98:AQ113)</f>
        <v>0</v>
      </c>
      <c r="G96" s="130">
        <f t="shared" si="24"/>
        <v>0</v>
      </c>
      <c r="H96" s="152"/>
      <c r="I96" s="115">
        <f t="shared" si="25"/>
        <v>0</v>
      </c>
      <c r="J96" s="152"/>
      <c r="K96" s="115">
        <f t="shared" si="26"/>
        <v>0</v>
      </c>
      <c r="L96" s="152"/>
      <c r="M96" s="115">
        <f t="shared" si="27"/>
        <v>0</v>
      </c>
      <c r="N96" s="152"/>
      <c r="O96" s="115">
        <f t="shared" si="28"/>
        <v>0</v>
      </c>
      <c r="P96" s="152"/>
      <c r="Q96" s="115">
        <f t="shared" si="29"/>
        <v>0</v>
      </c>
      <c r="R96" s="149"/>
      <c r="S96" s="113">
        <f t="shared" si="30"/>
        <v>0</v>
      </c>
    </row>
    <row r="97" spans="1:19" s="58" customFormat="1" ht="12.75">
      <c r="A97" s="127">
        <f t="shared" si="31"/>
        <v>14</v>
      </c>
      <c r="B97" s="128">
        <f>LOOKUP($A97,Quantities!$T98:$T113,Quantities!AE98:AE113)</f>
      </c>
      <c r="C97" s="128">
        <f>LOOKUP($A97,Quantities!$T98:$T113,Quantities!AF98:AF113)</f>
      </c>
      <c r="D97" s="128">
        <f>LOOKUP($A97,Quantities!$T98:$T113,Quantities!AG98:AG113)</f>
      </c>
      <c r="E97" s="128">
        <f>LOOKUP($A97,Quantities!$T98:$T113,Quantities!AR98:AR113)</f>
      </c>
      <c r="F97" s="129">
        <f>LOOKUP($A97,Quantities!$T98:$T113,Quantities!AQ98:AQ113)</f>
        <v>0</v>
      </c>
      <c r="G97" s="130">
        <f t="shared" si="24"/>
        <v>0</v>
      </c>
      <c r="H97" s="152"/>
      <c r="I97" s="115">
        <f t="shared" si="25"/>
        <v>0</v>
      </c>
      <c r="J97" s="152"/>
      <c r="K97" s="115">
        <f t="shared" si="26"/>
        <v>0</v>
      </c>
      <c r="L97" s="152"/>
      <c r="M97" s="115">
        <f t="shared" si="27"/>
        <v>0</v>
      </c>
      <c r="N97" s="152"/>
      <c r="O97" s="115">
        <f t="shared" si="28"/>
        <v>0</v>
      </c>
      <c r="P97" s="152"/>
      <c r="Q97" s="115">
        <f t="shared" si="29"/>
        <v>0</v>
      </c>
      <c r="R97" s="149"/>
      <c r="S97" s="113">
        <f t="shared" si="30"/>
        <v>0</v>
      </c>
    </row>
    <row r="98" spans="1:19" s="59" customFormat="1" ht="12.75">
      <c r="A98" s="127">
        <f t="shared" si="31"/>
        <v>15</v>
      </c>
      <c r="B98" s="128">
        <f>LOOKUP($A98,Quantities!$T98:$T113,Quantities!AE98:AE113)</f>
      </c>
      <c r="C98" s="128">
        <f>LOOKUP($A98,Quantities!$T98:$T113,Quantities!AF98:AF113)</f>
      </c>
      <c r="D98" s="128">
        <f>LOOKUP($A98,Quantities!$T98:$T113,Quantities!AG98:AG113)</f>
      </c>
      <c r="E98" s="128">
        <f>LOOKUP($A98,Quantities!$T98:$T113,Quantities!AR98:AR113)</f>
      </c>
      <c r="F98" s="129">
        <f>LOOKUP($A98,Quantities!$T98:$T113,Quantities!AQ98:AQ113)</f>
        <v>0</v>
      </c>
      <c r="G98" s="130">
        <f t="shared" si="24"/>
        <v>0</v>
      </c>
      <c r="H98" s="152"/>
      <c r="I98" s="115">
        <f t="shared" si="25"/>
        <v>0</v>
      </c>
      <c r="J98" s="152"/>
      <c r="K98" s="115">
        <f t="shared" si="26"/>
        <v>0</v>
      </c>
      <c r="L98" s="152"/>
      <c r="M98" s="115">
        <f t="shared" si="27"/>
        <v>0</v>
      </c>
      <c r="N98" s="152"/>
      <c r="O98" s="115">
        <f t="shared" si="28"/>
        <v>0</v>
      </c>
      <c r="P98" s="152"/>
      <c r="Q98" s="115">
        <f t="shared" si="29"/>
        <v>0</v>
      </c>
      <c r="R98" s="149"/>
      <c r="S98" s="113">
        <f t="shared" si="30"/>
        <v>0</v>
      </c>
    </row>
    <row r="99" spans="1:19" s="59" customFormat="1" ht="12.75">
      <c r="A99" s="127">
        <f t="shared" si="31"/>
        <v>16</v>
      </c>
      <c r="B99" s="128">
        <f>LOOKUP($A99,Quantities!$T98:$T113,Quantities!AE98:AE113)</f>
      </c>
      <c r="C99" s="128">
        <f>LOOKUP($A99,Quantities!$T98:$T113,Quantities!AF98:AF113)</f>
      </c>
      <c r="D99" s="128">
        <f>LOOKUP($A99,Quantities!$T98:$T113,Quantities!AG98:AG113)</f>
      </c>
      <c r="E99" s="128">
        <f>LOOKUP($A99,Quantities!$T98:$T113,Quantities!AR98:AR113)</f>
      </c>
      <c r="F99" s="129">
        <f>LOOKUP($A99,Quantities!$T98:$T113,Quantities!AQ98:AQ113)</f>
        <v>0</v>
      </c>
      <c r="G99" s="130">
        <f t="shared" si="24"/>
        <v>0</v>
      </c>
      <c r="H99" s="152"/>
      <c r="I99" s="115">
        <f t="shared" si="25"/>
        <v>0</v>
      </c>
      <c r="J99" s="152"/>
      <c r="K99" s="115">
        <f t="shared" si="26"/>
        <v>0</v>
      </c>
      <c r="L99" s="152"/>
      <c r="M99" s="115">
        <f t="shared" si="27"/>
        <v>0</v>
      </c>
      <c r="N99" s="152"/>
      <c r="O99" s="115">
        <f t="shared" si="28"/>
        <v>0</v>
      </c>
      <c r="P99" s="152"/>
      <c r="Q99" s="115">
        <f t="shared" si="29"/>
        <v>0</v>
      </c>
      <c r="R99" s="149"/>
      <c r="S99" s="113">
        <f t="shared" si="30"/>
        <v>0</v>
      </c>
    </row>
    <row r="100" spans="1:19" ht="13.5" thickBot="1">
      <c r="A100" s="131"/>
      <c r="B100" s="132"/>
      <c r="C100" s="132"/>
      <c r="D100" s="132"/>
      <c r="E100" s="133" t="s">
        <v>129</v>
      </c>
      <c r="F100" s="134"/>
      <c r="G100" s="135">
        <f>SUM(G84:G99)</f>
        <v>39150</v>
      </c>
      <c r="H100" s="153"/>
      <c r="I100" s="116">
        <f>SUM(I84:I99)</f>
        <v>0</v>
      </c>
      <c r="J100" s="153"/>
      <c r="K100" s="116">
        <f>SUM(K84:K99)</f>
        <v>0</v>
      </c>
      <c r="L100" s="153"/>
      <c r="M100" s="116">
        <f>SUM(M84:M99)</f>
        <v>0</v>
      </c>
      <c r="N100" s="153"/>
      <c r="O100" s="116">
        <f>SUM(O84:O99)</f>
        <v>0</v>
      </c>
      <c r="P100" s="153"/>
      <c r="Q100" s="116">
        <f>SUM(Q84:Q99)</f>
        <v>0</v>
      </c>
      <c r="R100" s="150"/>
      <c r="S100" s="114">
        <f>SUM(S84:S99)</f>
        <v>0</v>
      </c>
    </row>
    <row r="101" ht="11.25" customHeight="1"/>
    <row r="102" spans="1:7" s="44" customFormat="1" ht="12.75">
      <c r="A102" s="43" t="str">
        <f>Quantities!C128</f>
        <v>Road S b/ Road 10- Road 13</v>
      </c>
      <c r="F102" s="45"/>
      <c r="G102" s="45"/>
    </row>
    <row r="103" spans="1:7" s="38" customFormat="1" ht="12.75">
      <c r="A103" s="44" t="str">
        <f>Quantities!AB146</f>
        <v>Length:  15930 Feet or 3.02 Mile(s)</v>
      </c>
      <c r="B103" s="46"/>
      <c r="C103" s="44"/>
      <c r="D103" s="47"/>
      <c r="F103" s="48"/>
      <c r="G103" s="48"/>
    </row>
    <row r="104" spans="1:7" s="38" customFormat="1" ht="12.75">
      <c r="A104" s="44" t="str">
        <f>Quantities!AB147</f>
        <v>Width:  18.5 Feet     (Approx. 32985 S.Y. including radius and driveway work)</v>
      </c>
      <c r="B104" s="44"/>
      <c r="C104" s="46"/>
      <c r="D104" s="49"/>
      <c r="F104" s="48"/>
      <c r="G104" s="48"/>
    </row>
    <row r="105" spans="1:7" s="38" customFormat="1" ht="13.5" thickBot="1">
      <c r="A105" s="44" t="str">
        <f>Quantities!AB148</f>
        <v>Type: ODOT Spec 823 </v>
      </c>
      <c r="B105" s="50"/>
      <c r="C105" s="50"/>
      <c r="D105" s="50"/>
      <c r="F105" s="48"/>
      <c r="G105" s="48"/>
    </row>
    <row r="106" spans="1:19" s="38" customFormat="1" ht="12.75">
      <c r="A106" s="136"/>
      <c r="B106" s="137"/>
      <c r="C106" s="138"/>
      <c r="D106" s="138"/>
      <c r="E106" s="139"/>
      <c r="F106" s="177" t="s">
        <v>150</v>
      </c>
      <c r="G106" s="178"/>
      <c r="H106" s="180" t="s">
        <v>151</v>
      </c>
      <c r="I106" s="181"/>
      <c r="J106" s="179" t="s">
        <v>152</v>
      </c>
      <c r="K106" s="179"/>
      <c r="L106" s="179" t="s">
        <v>153</v>
      </c>
      <c r="M106" s="179"/>
      <c r="N106" s="179" t="s">
        <v>154</v>
      </c>
      <c r="O106" s="179"/>
      <c r="P106" s="179" t="s">
        <v>155</v>
      </c>
      <c r="Q106" s="181"/>
      <c r="R106" s="182" t="s">
        <v>156</v>
      </c>
      <c r="S106" s="183"/>
    </row>
    <row r="107" spans="1:19" s="38" customFormat="1" ht="13.5" thickBot="1">
      <c r="A107" s="140" t="s">
        <v>1</v>
      </c>
      <c r="B107" s="141" t="s">
        <v>2</v>
      </c>
      <c r="C107" s="141" t="s">
        <v>36</v>
      </c>
      <c r="D107" s="141" t="s">
        <v>3</v>
      </c>
      <c r="E107" s="142" t="s">
        <v>4</v>
      </c>
      <c r="F107" s="143" t="s">
        <v>5</v>
      </c>
      <c r="G107" s="144" t="s">
        <v>6</v>
      </c>
      <c r="H107" s="119" t="s">
        <v>5</v>
      </c>
      <c r="I107" s="120" t="s">
        <v>6</v>
      </c>
      <c r="J107" s="119" t="s">
        <v>5</v>
      </c>
      <c r="K107" s="120" t="s">
        <v>6</v>
      </c>
      <c r="L107" s="119" t="s">
        <v>5</v>
      </c>
      <c r="M107" s="120" t="s">
        <v>6</v>
      </c>
      <c r="N107" s="119" t="s">
        <v>5</v>
      </c>
      <c r="O107" s="120" t="s">
        <v>6</v>
      </c>
      <c r="P107" s="119" t="s">
        <v>5</v>
      </c>
      <c r="Q107" s="120" t="s">
        <v>6</v>
      </c>
      <c r="R107" s="121" t="s">
        <v>5</v>
      </c>
      <c r="S107" s="122" t="s">
        <v>6</v>
      </c>
    </row>
    <row r="108" spans="1:19" s="58" customFormat="1" ht="13.5" thickTop="1">
      <c r="A108" s="123">
        <f>A84</f>
        <v>1</v>
      </c>
      <c r="B108" s="124">
        <f>LOOKUP($A108,Quantities!$T129:$T144,Quantities!AE129:AE144)</f>
        <v>407</v>
      </c>
      <c r="C108" s="124">
        <f>LOOKUP($A108,Quantities!$T129:$T144,Quantities!AF129:AF144)</f>
        <v>1650</v>
      </c>
      <c r="D108" s="124" t="str">
        <f>LOOKUP($A108,Quantities!$T129:$T144,Quantities!AG129:AG144)</f>
        <v>Gal</v>
      </c>
      <c r="E108" s="124" t="str">
        <f>LOOKUP($A108,Quantities!$T129:$T144,Quantities!AR129:AR144)</f>
        <v>Bituminous Tack Coat applied at 0.05 gallons per square yard</v>
      </c>
      <c r="F108" s="125">
        <f>LOOKUP($A108,Quantities!$T129:$T144,Quantities!AQ129:AQ144)</f>
        <v>2.1</v>
      </c>
      <c r="G108" s="126">
        <f aca="true" t="shared" si="32" ref="G108:G123">IF(C108="",0,F108*C108)</f>
        <v>3465</v>
      </c>
      <c r="H108" s="151"/>
      <c r="I108" s="117">
        <f aca="true" t="shared" si="33" ref="I108:I123">IF($C108="",0,H108*$C108)</f>
        <v>0</v>
      </c>
      <c r="J108" s="151"/>
      <c r="K108" s="117">
        <f t="shared" si="18"/>
        <v>0</v>
      </c>
      <c r="L108" s="151"/>
      <c r="M108" s="117">
        <f t="shared" si="19"/>
        <v>0</v>
      </c>
      <c r="N108" s="151"/>
      <c r="O108" s="117">
        <f t="shared" si="20"/>
        <v>0</v>
      </c>
      <c r="P108" s="151"/>
      <c r="Q108" s="117">
        <f t="shared" si="21"/>
        <v>0</v>
      </c>
      <c r="R108" s="148"/>
      <c r="S108" s="118">
        <f aca="true" t="shared" si="34" ref="S108:S123">IF($C108="",0,R108*$C108)</f>
        <v>0</v>
      </c>
    </row>
    <row r="109" spans="1:19" s="58" customFormat="1" ht="38.25">
      <c r="A109" s="127">
        <f aca="true" t="shared" si="35" ref="A109:A123">A108+1</f>
        <v>2</v>
      </c>
      <c r="B109" s="128">
        <f>LOOKUP($A109,Quantities!$T129:$T144,Quantities!AE129:AE144)</f>
        <v>823</v>
      </c>
      <c r="C109" s="128">
        <f>LOOKUP($A109,Quantities!$T129:$T144,Quantities!AF129:AF144)</f>
        <v>1375</v>
      </c>
      <c r="D109" s="128" t="str">
        <f>LOOKUP($A109,Quantities!$T129:$T144,Quantities!AG129:AG144)</f>
        <v>C.Y.</v>
      </c>
      <c r="E109" s="128" t="str">
        <f>LOOKUP($A109,Quantities!$T129:$T144,Quantities!AR129:AR144)</f>
        <v>Asphalt concrete surface course PG 64-22, Type 1 (823) applied, spread and compacted at the average depth of 1.5 inches</v>
      </c>
      <c r="F109" s="129">
        <f>LOOKUP($A109,Quantities!$T129:$T144,Quantities!AQ129:AQ144)</f>
        <v>185</v>
      </c>
      <c r="G109" s="130">
        <f t="shared" si="32"/>
        <v>254375</v>
      </c>
      <c r="H109" s="152"/>
      <c r="I109" s="115">
        <f t="shared" si="33"/>
        <v>0</v>
      </c>
      <c r="J109" s="152"/>
      <c r="K109" s="115">
        <f t="shared" si="18"/>
        <v>0</v>
      </c>
      <c r="L109" s="152"/>
      <c r="M109" s="115">
        <f t="shared" si="19"/>
        <v>0</v>
      </c>
      <c r="N109" s="152"/>
      <c r="O109" s="115">
        <f t="shared" si="20"/>
        <v>0</v>
      </c>
      <c r="P109" s="152"/>
      <c r="Q109" s="115">
        <f t="shared" si="21"/>
        <v>0</v>
      </c>
      <c r="R109" s="149"/>
      <c r="S109" s="113">
        <f t="shared" si="34"/>
        <v>0</v>
      </c>
    </row>
    <row r="110" spans="1:19" s="58" customFormat="1" ht="12.75">
      <c r="A110" s="127">
        <f t="shared" si="35"/>
        <v>3</v>
      </c>
      <c r="B110" s="128">
        <f>LOOKUP($A110,Quantities!$T129:$T144,Quantities!AE129:AE144)</f>
        <v>254</v>
      </c>
      <c r="C110" s="128">
        <f>LOOKUP($A110,Quantities!$T129:$T144,Quantities!AF129:AF144)</f>
        <v>1010</v>
      </c>
      <c r="D110" s="128" t="str">
        <f>LOOKUP($A110,Quantities!$T129:$T144,Quantities!AG129:AG144)</f>
        <v>S.Y.</v>
      </c>
      <c r="E110" s="128" t="str">
        <f>LOOKUP($A110,Quantities!$T129:$T144,Quantities!AR129:AR144)</f>
        <v>Pavement Planing (20' length including radius)</v>
      </c>
      <c r="F110" s="129">
        <f>LOOKUP($A110,Quantities!$T129:$T144,Quantities!AQ129:AQ144)</f>
        <v>12</v>
      </c>
      <c r="G110" s="130">
        <f t="shared" si="32"/>
        <v>12120</v>
      </c>
      <c r="H110" s="152"/>
      <c r="I110" s="115">
        <f t="shared" si="33"/>
        <v>0</v>
      </c>
      <c r="J110" s="152"/>
      <c r="K110" s="115">
        <f t="shared" si="18"/>
        <v>0</v>
      </c>
      <c r="L110" s="152"/>
      <c r="M110" s="115">
        <f t="shared" si="19"/>
        <v>0</v>
      </c>
      <c r="N110" s="152"/>
      <c r="O110" s="115">
        <f t="shared" si="20"/>
        <v>0</v>
      </c>
      <c r="P110" s="152"/>
      <c r="Q110" s="115">
        <f t="shared" si="21"/>
        <v>0</v>
      </c>
      <c r="R110" s="149"/>
      <c r="S110" s="113">
        <f t="shared" si="34"/>
        <v>0</v>
      </c>
    </row>
    <row r="111" spans="1:19" s="59" customFormat="1" ht="12.75">
      <c r="A111" s="127">
        <f t="shared" si="35"/>
        <v>4</v>
      </c>
      <c r="B111" s="128">
        <f>LOOKUP($A111,Quantities!$T129:$T144,Quantities!AE129:AE144)</f>
        <v>614</v>
      </c>
      <c r="C111" s="128">
        <f>LOOKUP($A111,Quantities!$T129:$T144,Quantities!AF129:AF144)</f>
        <v>1</v>
      </c>
      <c r="D111" s="128" t="str">
        <f>LOOKUP($A111,Quantities!$T129:$T144,Quantities!AG129:AG144)</f>
        <v>L.S.</v>
      </c>
      <c r="E111" s="128" t="str">
        <f>LOOKUP($A111,Quantities!$T129:$T144,Quantities!AR129:AR144)</f>
        <v>Maintaining Traffic</v>
      </c>
      <c r="F111" s="129">
        <f>LOOKUP($A111,Quantities!$T129:$T144,Quantities!AQ129:AQ144)</f>
        <v>3000</v>
      </c>
      <c r="G111" s="130">
        <f t="shared" si="32"/>
        <v>3000</v>
      </c>
      <c r="H111" s="152"/>
      <c r="I111" s="115">
        <f t="shared" si="33"/>
        <v>0</v>
      </c>
      <c r="J111" s="152"/>
      <c r="K111" s="115">
        <f t="shared" si="18"/>
        <v>0</v>
      </c>
      <c r="L111" s="152"/>
      <c r="M111" s="115">
        <f t="shared" si="19"/>
        <v>0</v>
      </c>
      <c r="N111" s="152"/>
      <c r="O111" s="115">
        <f t="shared" si="20"/>
        <v>0</v>
      </c>
      <c r="P111" s="152"/>
      <c r="Q111" s="115">
        <f t="shared" si="21"/>
        <v>0</v>
      </c>
      <c r="R111" s="149"/>
      <c r="S111" s="113">
        <f t="shared" si="34"/>
        <v>0</v>
      </c>
    </row>
    <row r="112" spans="1:19" s="58" customFormat="1" ht="12.75">
      <c r="A112" s="127">
        <f t="shared" si="35"/>
        <v>5</v>
      </c>
      <c r="B112" s="128">
        <f>LOOKUP($A112,Quantities!$T129:$T144,Quantities!AE129:AE144)</f>
        <v>624</v>
      </c>
      <c r="C112" s="128">
        <f>LOOKUP($A112,Quantities!$T129:$T144,Quantities!AF129:AF144)</f>
        <v>1</v>
      </c>
      <c r="D112" s="128" t="str">
        <f>LOOKUP($A112,Quantities!$T129:$T144,Quantities!AG129:AG144)</f>
        <v>L.S.</v>
      </c>
      <c r="E112" s="128" t="str">
        <f>LOOKUP($A112,Quantities!$T129:$T144,Quantities!AR129:AR144)</f>
        <v>Mobilization</v>
      </c>
      <c r="F112" s="129">
        <f>LOOKUP($A112,Quantities!$T129:$T144,Quantities!AQ129:AQ144)</f>
        <v>1500</v>
      </c>
      <c r="G112" s="130">
        <f t="shared" si="32"/>
        <v>1500</v>
      </c>
      <c r="H112" s="152"/>
      <c r="I112" s="115">
        <f t="shared" si="33"/>
        <v>0</v>
      </c>
      <c r="J112" s="152"/>
      <c r="K112" s="115">
        <f t="shared" si="18"/>
        <v>0</v>
      </c>
      <c r="L112" s="152"/>
      <c r="M112" s="115">
        <f t="shared" si="19"/>
        <v>0</v>
      </c>
      <c r="N112" s="152"/>
      <c r="O112" s="115">
        <f t="shared" si="20"/>
        <v>0</v>
      </c>
      <c r="P112" s="152"/>
      <c r="Q112" s="115">
        <f t="shared" si="21"/>
        <v>0</v>
      </c>
      <c r="R112" s="149"/>
      <c r="S112" s="113">
        <f t="shared" si="34"/>
        <v>0</v>
      </c>
    </row>
    <row r="113" spans="1:19" s="58" customFormat="1" ht="12.75">
      <c r="A113" s="127">
        <f t="shared" si="35"/>
        <v>6</v>
      </c>
      <c r="B113" s="128">
        <f>LOOKUP($A113,Quantities!$T129:$T144,Quantities!AE129:AE144)</f>
        <v>103.05</v>
      </c>
      <c r="C113" s="128">
        <f>LOOKUP($A113,Quantities!$T129:$T144,Quantities!AF129:AF144)</f>
        <v>1</v>
      </c>
      <c r="D113" s="128" t="str">
        <f>LOOKUP($A113,Quantities!$T129:$T144,Quantities!AG129:AG144)</f>
        <v>L.S.</v>
      </c>
      <c r="E113" s="128" t="str">
        <f>LOOKUP($A113,Quantities!$T129:$T144,Quantities!AR129:AR144)</f>
        <v>Contract Performance &amp; Payment Bond</v>
      </c>
      <c r="F113" s="129">
        <f>LOOKUP($A113,Quantities!$T129:$T144,Quantities!AQ129:AQ144)</f>
        <v>1275</v>
      </c>
      <c r="G113" s="130">
        <f t="shared" si="32"/>
        <v>1275</v>
      </c>
      <c r="H113" s="152"/>
      <c r="I113" s="115">
        <f t="shared" si="33"/>
        <v>0</v>
      </c>
      <c r="J113" s="152"/>
      <c r="K113" s="115">
        <f t="shared" si="18"/>
        <v>0</v>
      </c>
      <c r="L113" s="152"/>
      <c r="M113" s="115">
        <f t="shared" si="19"/>
        <v>0</v>
      </c>
      <c r="N113" s="152"/>
      <c r="O113" s="115">
        <f t="shared" si="20"/>
        <v>0</v>
      </c>
      <c r="P113" s="152"/>
      <c r="Q113" s="115">
        <f t="shared" si="21"/>
        <v>0</v>
      </c>
      <c r="R113" s="149"/>
      <c r="S113" s="113">
        <f t="shared" si="34"/>
        <v>0</v>
      </c>
    </row>
    <row r="114" spans="1:19" s="58" customFormat="1" ht="12.75">
      <c r="A114" s="127">
        <f t="shared" si="35"/>
        <v>7</v>
      </c>
      <c r="B114" s="128">
        <f>LOOKUP($A114,Quantities!$T129:$T144,Quantities!AE129:AE144)</f>
      </c>
      <c r="C114" s="128">
        <f>LOOKUP($A114,Quantities!$T129:$T144,Quantities!AF129:AF144)</f>
      </c>
      <c r="D114" s="128">
        <f>LOOKUP($A114,Quantities!$T129:$T144,Quantities!AG129:AG144)</f>
      </c>
      <c r="E114" s="128">
        <f>LOOKUP($A114,Quantities!$T129:$T144,Quantities!AR129:AR144)</f>
      </c>
      <c r="F114" s="129">
        <f>LOOKUP($A114,Quantities!$T129:$T144,Quantities!AQ129:AQ144)</f>
        <v>0</v>
      </c>
      <c r="G114" s="130">
        <f t="shared" si="32"/>
        <v>0</v>
      </c>
      <c r="H114" s="152"/>
      <c r="I114" s="115">
        <f t="shared" si="33"/>
        <v>0</v>
      </c>
      <c r="J114" s="152"/>
      <c r="K114" s="115">
        <f t="shared" si="18"/>
        <v>0</v>
      </c>
      <c r="L114" s="152"/>
      <c r="M114" s="115">
        <f t="shared" si="19"/>
        <v>0</v>
      </c>
      <c r="N114" s="152"/>
      <c r="O114" s="115">
        <f t="shared" si="20"/>
        <v>0</v>
      </c>
      <c r="P114" s="152"/>
      <c r="Q114" s="115">
        <f t="shared" si="21"/>
        <v>0</v>
      </c>
      <c r="R114" s="149"/>
      <c r="S114" s="113">
        <f t="shared" si="34"/>
        <v>0</v>
      </c>
    </row>
    <row r="115" spans="1:19" s="58" customFormat="1" ht="12.75">
      <c r="A115" s="127">
        <f t="shared" si="35"/>
        <v>8</v>
      </c>
      <c r="B115" s="128">
        <f>LOOKUP($A115,Quantities!$T129:$T144,Quantities!AE129:AE144)</f>
      </c>
      <c r="C115" s="128">
        <f>LOOKUP($A115,Quantities!$T129:$T144,Quantities!AF129:AF144)</f>
      </c>
      <c r="D115" s="128">
        <f>LOOKUP($A115,Quantities!$T129:$T144,Quantities!AG129:AG144)</f>
      </c>
      <c r="E115" s="128">
        <f>LOOKUP($A115,Quantities!$T129:$T144,Quantities!AR129:AR144)</f>
      </c>
      <c r="F115" s="129">
        <f>LOOKUP($A115,Quantities!$T129:$T144,Quantities!AQ129:AQ144)</f>
        <v>0</v>
      </c>
      <c r="G115" s="130">
        <f t="shared" si="32"/>
        <v>0</v>
      </c>
      <c r="H115" s="152"/>
      <c r="I115" s="115">
        <f t="shared" si="33"/>
        <v>0</v>
      </c>
      <c r="J115" s="152"/>
      <c r="K115" s="115">
        <f t="shared" si="18"/>
        <v>0</v>
      </c>
      <c r="L115" s="152"/>
      <c r="M115" s="115">
        <f t="shared" si="19"/>
        <v>0</v>
      </c>
      <c r="N115" s="152"/>
      <c r="O115" s="115">
        <f t="shared" si="20"/>
        <v>0</v>
      </c>
      <c r="P115" s="152"/>
      <c r="Q115" s="115">
        <f t="shared" si="21"/>
        <v>0</v>
      </c>
      <c r="R115" s="149"/>
      <c r="S115" s="113">
        <f t="shared" si="34"/>
        <v>0</v>
      </c>
    </row>
    <row r="116" spans="1:19" s="58" customFormat="1" ht="12.75">
      <c r="A116" s="127">
        <f t="shared" si="35"/>
        <v>9</v>
      </c>
      <c r="B116" s="128">
        <f>LOOKUP($A116,Quantities!$T129:$T144,Quantities!AE129:AE144)</f>
      </c>
      <c r="C116" s="128">
        <f>LOOKUP($A116,Quantities!$T129:$T144,Quantities!AF129:AF144)</f>
      </c>
      <c r="D116" s="128">
        <f>LOOKUP($A116,Quantities!$T129:$T144,Quantities!AG129:AG144)</f>
      </c>
      <c r="E116" s="128">
        <f>LOOKUP($A116,Quantities!$T129:$T144,Quantities!AR129:AR144)</f>
      </c>
      <c r="F116" s="129">
        <f>LOOKUP($A116,Quantities!$T129:$T144,Quantities!AQ129:AQ144)</f>
        <v>0</v>
      </c>
      <c r="G116" s="130">
        <f t="shared" si="32"/>
        <v>0</v>
      </c>
      <c r="H116" s="152"/>
      <c r="I116" s="115">
        <f t="shared" si="33"/>
        <v>0</v>
      </c>
      <c r="J116" s="152"/>
      <c r="K116" s="115">
        <f t="shared" si="18"/>
        <v>0</v>
      </c>
      <c r="L116" s="152"/>
      <c r="M116" s="115">
        <f t="shared" si="19"/>
        <v>0</v>
      </c>
      <c r="N116" s="152"/>
      <c r="O116" s="115">
        <f t="shared" si="20"/>
        <v>0</v>
      </c>
      <c r="P116" s="152"/>
      <c r="Q116" s="115">
        <f t="shared" si="21"/>
        <v>0</v>
      </c>
      <c r="R116" s="149"/>
      <c r="S116" s="113">
        <f t="shared" si="34"/>
        <v>0</v>
      </c>
    </row>
    <row r="117" spans="1:19" s="58" customFormat="1" ht="12.75">
      <c r="A117" s="127">
        <f t="shared" si="35"/>
        <v>10</v>
      </c>
      <c r="B117" s="128">
        <f>LOOKUP($A117,Quantities!$T129:$T144,Quantities!AE129:AE144)</f>
      </c>
      <c r="C117" s="128">
        <f>LOOKUP($A117,Quantities!$T129:$T144,Quantities!AF129:AF144)</f>
      </c>
      <c r="D117" s="128">
        <f>LOOKUP($A117,Quantities!$T129:$T144,Quantities!AG129:AG144)</f>
      </c>
      <c r="E117" s="128">
        <f>LOOKUP($A117,Quantities!$T129:$T144,Quantities!AR129:AR144)</f>
      </c>
      <c r="F117" s="129">
        <f>LOOKUP($A117,Quantities!$T129:$T144,Quantities!AQ129:AQ144)</f>
        <v>0</v>
      </c>
      <c r="G117" s="130">
        <f t="shared" si="32"/>
        <v>0</v>
      </c>
      <c r="H117" s="152"/>
      <c r="I117" s="115">
        <f t="shared" si="33"/>
        <v>0</v>
      </c>
      <c r="J117" s="152"/>
      <c r="K117" s="115">
        <f t="shared" si="18"/>
        <v>0</v>
      </c>
      <c r="L117" s="152"/>
      <c r="M117" s="115">
        <f t="shared" si="19"/>
        <v>0</v>
      </c>
      <c r="N117" s="152"/>
      <c r="O117" s="115">
        <f t="shared" si="20"/>
        <v>0</v>
      </c>
      <c r="P117" s="152"/>
      <c r="Q117" s="115">
        <f t="shared" si="21"/>
        <v>0</v>
      </c>
      <c r="R117" s="149"/>
      <c r="S117" s="113">
        <f t="shared" si="34"/>
        <v>0</v>
      </c>
    </row>
    <row r="118" spans="1:19" s="58" customFormat="1" ht="12.75">
      <c r="A118" s="127">
        <f t="shared" si="35"/>
        <v>11</v>
      </c>
      <c r="B118" s="128">
        <f>LOOKUP($A118,Quantities!$T129:$T144,Quantities!AE129:AE144)</f>
      </c>
      <c r="C118" s="128">
        <f>LOOKUP($A118,Quantities!$T129:$T144,Quantities!AF129:AF144)</f>
      </c>
      <c r="D118" s="128">
        <f>LOOKUP($A118,Quantities!$T129:$T144,Quantities!AG129:AG144)</f>
      </c>
      <c r="E118" s="128">
        <f>LOOKUP($A118,Quantities!$T129:$T144,Quantities!AR129:AR144)</f>
      </c>
      <c r="F118" s="129">
        <f>LOOKUP($A118,Quantities!$T129:$T144,Quantities!AQ129:AQ144)</f>
        <v>0</v>
      </c>
      <c r="G118" s="130">
        <f t="shared" si="32"/>
        <v>0</v>
      </c>
      <c r="H118" s="152"/>
      <c r="I118" s="115">
        <f t="shared" si="33"/>
        <v>0</v>
      </c>
      <c r="J118" s="152"/>
      <c r="K118" s="115">
        <f t="shared" si="18"/>
        <v>0</v>
      </c>
      <c r="L118" s="152"/>
      <c r="M118" s="115">
        <f t="shared" si="19"/>
        <v>0</v>
      </c>
      <c r="N118" s="152"/>
      <c r="O118" s="115">
        <f t="shared" si="20"/>
        <v>0</v>
      </c>
      <c r="P118" s="152"/>
      <c r="Q118" s="115">
        <f t="shared" si="21"/>
        <v>0</v>
      </c>
      <c r="R118" s="149"/>
      <c r="S118" s="113">
        <f t="shared" si="34"/>
        <v>0</v>
      </c>
    </row>
    <row r="119" spans="1:19" s="58" customFormat="1" ht="12.75">
      <c r="A119" s="127">
        <f t="shared" si="35"/>
        <v>12</v>
      </c>
      <c r="B119" s="128">
        <f>LOOKUP($A119,Quantities!$T129:$T144,Quantities!AE129:AE144)</f>
      </c>
      <c r="C119" s="128">
        <f>LOOKUP($A119,Quantities!$T129:$T144,Quantities!AF129:AF144)</f>
      </c>
      <c r="D119" s="128">
        <f>LOOKUP($A119,Quantities!$T129:$T144,Quantities!AG129:AG144)</f>
      </c>
      <c r="E119" s="128">
        <f>LOOKUP($A119,Quantities!$T129:$T144,Quantities!AR129:AR144)</f>
      </c>
      <c r="F119" s="129">
        <f>LOOKUP($A119,Quantities!$T129:$T144,Quantities!AQ129:AQ144)</f>
        <v>0</v>
      </c>
      <c r="G119" s="130">
        <f t="shared" si="32"/>
        <v>0</v>
      </c>
      <c r="H119" s="152"/>
      <c r="I119" s="115">
        <f t="shared" si="33"/>
        <v>0</v>
      </c>
      <c r="J119" s="152"/>
      <c r="K119" s="115">
        <f t="shared" si="18"/>
        <v>0</v>
      </c>
      <c r="L119" s="152"/>
      <c r="M119" s="115">
        <f t="shared" si="19"/>
        <v>0</v>
      </c>
      <c r="N119" s="152"/>
      <c r="O119" s="115">
        <f t="shared" si="20"/>
        <v>0</v>
      </c>
      <c r="P119" s="152"/>
      <c r="Q119" s="115">
        <f t="shared" si="21"/>
        <v>0</v>
      </c>
      <c r="R119" s="149"/>
      <c r="S119" s="113">
        <f t="shared" si="34"/>
        <v>0</v>
      </c>
    </row>
    <row r="120" spans="1:19" s="58" customFormat="1" ht="12.75">
      <c r="A120" s="127">
        <f t="shared" si="35"/>
        <v>13</v>
      </c>
      <c r="B120" s="128">
        <f>LOOKUP($A120,Quantities!$T129:$T144,Quantities!AE129:AE144)</f>
      </c>
      <c r="C120" s="128">
        <f>LOOKUP($A120,Quantities!$T129:$T144,Quantities!AF129:AF144)</f>
      </c>
      <c r="D120" s="128">
        <f>LOOKUP($A120,Quantities!$T129:$T144,Quantities!AG129:AG144)</f>
      </c>
      <c r="E120" s="128">
        <f>LOOKUP($A120,Quantities!$T129:$T144,Quantities!AR129:AR144)</f>
      </c>
      <c r="F120" s="129">
        <f>LOOKUP($A120,Quantities!$T129:$T144,Quantities!AQ129:AQ144)</f>
        <v>0</v>
      </c>
      <c r="G120" s="130">
        <f t="shared" si="32"/>
        <v>0</v>
      </c>
      <c r="H120" s="152"/>
      <c r="I120" s="115">
        <f t="shared" si="33"/>
        <v>0</v>
      </c>
      <c r="J120" s="152"/>
      <c r="K120" s="115">
        <f t="shared" si="18"/>
        <v>0</v>
      </c>
      <c r="L120" s="152"/>
      <c r="M120" s="115">
        <f t="shared" si="19"/>
        <v>0</v>
      </c>
      <c r="N120" s="152"/>
      <c r="O120" s="115">
        <f t="shared" si="20"/>
        <v>0</v>
      </c>
      <c r="P120" s="152"/>
      <c r="Q120" s="115">
        <f t="shared" si="21"/>
        <v>0</v>
      </c>
      <c r="R120" s="149"/>
      <c r="S120" s="113">
        <f t="shared" si="34"/>
        <v>0</v>
      </c>
    </row>
    <row r="121" spans="1:19" s="58" customFormat="1" ht="12.75">
      <c r="A121" s="127">
        <f t="shared" si="35"/>
        <v>14</v>
      </c>
      <c r="B121" s="128">
        <f>LOOKUP($A121,Quantities!$T129:$T144,Quantities!AE129:AE144)</f>
      </c>
      <c r="C121" s="128">
        <f>LOOKUP($A121,Quantities!$T129:$T144,Quantities!AF129:AF144)</f>
      </c>
      <c r="D121" s="128">
        <f>LOOKUP($A121,Quantities!$T129:$T144,Quantities!AG129:AG144)</f>
      </c>
      <c r="E121" s="128">
        <f>LOOKUP($A121,Quantities!$T129:$T144,Quantities!AR129:AR144)</f>
      </c>
      <c r="F121" s="129">
        <f>LOOKUP($A121,Quantities!$T129:$T144,Quantities!AQ129:AQ144)</f>
        <v>0</v>
      </c>
      <c r="G121" s="130">
        <f t="shared" si="32"/>
        <v>0</v>
      </c>
      <c r="H121" s="152"/>
      <c r="I121" s="115">
        <f t="shared" si="33"/>
        <v>0</v>
      </c>
      <c r="J121" s="152"/>
      <c r="K121" s="115">
        <f t="shared" si="18"/>
        <v>0</v>
      </c>
      <c r="L121" s="152"/>
      <c r="M121" s="115">
        <f t="shared" si="19"/>
        <v>0</v>
      </c>
      <c r="N121" s="152"/>
      <c r="O121" s="115">
        <f t="shared" si="20"/>
        <v>0</v>
      </c>
      <c r="P121" s="152"/>
      <c r="Q121" s="115">
        <f t="shared" si="21"/>
        <v>0</v>
      </c>
      <c r="R121" s="149"/>
      <c r="S121" s="113">
        <f t="shared" si="34"/>
        <v>0</v>
      </c>
    </row>
    <row r="122" spans="1:19" s="59" customFormat="1" ht="12.75">
      <c r="A122" s="127">
        <f t="shared" si="35"/>
        <v>15</v>
      </c>
      <c r="B122" s="128">
        <f>LOOKUP($A122,Quantities!$T129:$T144,Quantities!AE129:AE144)</f>
      </c>
      <c r="C122" s="128">
        <f>LOOKUP($A122,Quantities!$T129:$T144,Quantities!AF129:AF144)</f>
      </c>
      <c r="D122" s="128">
        <f>LOOKUP($A122,Quantities!$T129:$T144,Quantities!AG129:AG144)</f>
      </c>
      <c r="E122" s="128">
        <f>LOOKUP($A122,Quantities!$T129:$T144,Quantities!AR129:AR144)</f>
      </c>
      <c r="F122" s="129">
        <f>LOOKUP($A122,Quantities!$T129:$T144,Quantities!AQ129:AQ144)</f>
        <v>0</v>
      </c>
      <c r="G122" s="130">
        <f t="shared" si="32"/>
        <v>0</v>
      </c>
      <c r="H122" s="152"/>
      <c r="I122" s="115">
        <f t="shared" si="33"/>
        <v>0</v>
      </c>
      <c r="J122" s="152"/>
      <c r="K122" s="115">
        <f t="shared" si="18"/>
        <v>0</v>
      </c>
      <c r="L122" s="152"/>
      <c r="M122" s="115">
        <f t="shared" si="19"/>
        <v>0</v>
      </c>
      <c r="N122" s="152"/>
      <c r="O122" s="115">
        <f t="shared" si="20"/>
        <v>0</v>
      </c>
      <c r="P122" s="152"/>
      <c r="Q122" s="115">
        <f t="shared" si="21"/>
        <v>0</v>
      </c>
      <c r="R122" s="149"/>
      <c r="S122" s="113">
        <f t="shared" si="34"/>
        <v>0</v>
      </c>
    </row>
    <row r="123" spans="1:19" s="59" customFormat="1" ht="12.75">
      <c r="A123" s="127">
        <f t="shared" si="35"/>
        <v>16</v>
      </c>
      <c r="B123" s="128">
        <f>LOOKUP($A123,Quantities!$T129:$T144,Quantities!AE129:AE144)</f>
      </c>
      <c r="C123" s="128">
        <f>LOOKUP($A123,Quantities!$T129:$T144,Quantities!AF129:AF144)</f>
      </c>
      <c r="D123" s="128">
        <f>LOOKUP($A123,Quantities!$T129:$T144,Quantities!AG129:AG144)</f>
      </c>
      <c r="E123" s="128">
        <f>LOOKUP($A123,Quantities!$T129:$T144,Quantities!AR129:AR144)</f>
      </c>
      <c r="F123" s="129">
        <f>LOOKUP($A123,Quantities!$T129:$T144,Quantities!AQ129:AQ144)</f>
        <v>0</v>
      </c>
      <c r="G123" s="130">
        <f t="shared" si="32"/>
        <v>0</v>
      </c>
      <c r="H123" s="152"/>
      <c r="I123" s="115">
        <f t="shared" si="33"/>
        <v>0</v>
      </c>
      <c r="J123" s="152"/>
      <c r="K123" s="115">
        <f t="shared" si="18"/>
        <v>0</v>
      </c>
      <c r="L123" s="152"/>
      <c r="M123" s="115">
        <f t="shared" si="19"/>
        <v>0</v>
      </c>
      <c r="N123" s="152"/>
      <c r="O123" s="115">
        <f t="shared" si="20"/>
        <v>0</v>
      </c>
      <c r="P123" s="152"/>
      <c r="Q123" s="115">
        <f t="shared" si="21"/>
        <v>0</v>
      </c>
      <c r="R123" s="149"/>
      <c r="S123" s="113">
        <f t="shared" si="34"/>
        <v>0</v>
      </c>
    </row>
    <row r="124" spans="1:19" ht="13.5" thickBot="1">
      <c r="A124" s="131"/>
      <c r="B124" s="132"/>
      <c r="C124" s="132"/>
      <c r="D124" s="132"/>
      <c r="E124" s="133" t="s">
        <v>129</v>
      </c>
      <c r="F124" s="134"/>
      <c r="G124" s="135">
        <f>SUM(G108:G123)</f>
        <v>275735</v>
      </c>
      <c r="H124" s="153"/>
      <c r="I124" s="116">
        <f>SUM(I108:I123)</f>
        <v>0</v>
      </c>
      <c r="J124" s="153"/>
      <c r="K124" s="116">
        <f>SUM(K108:K123)</f>
        <v>0</v>
      </c>
      <c r="L124" s="153"/>
      <c r="M124" s="116">
        <f>SUM(M108:M123)</f>
        <v>0</v>
      </c>
      <c r="N124" s="153"/>
      <c r="O124" s="116">
        <f>SUM(O108:O123)</f>
        <v>0</v>
      </c>
      <c r="P124" s="153"/>
      <c r="Q124" s="116">
        <f>SUM(Q108:Q123)</f>
        <v>0</v>
      </c>
      <c r="R124" s="150"/>
      <c r="S124" s="114">
        <f>SUM(S108:S123)</f>
        <v>0</v>
      </c>
    </row>
    <row r="125" ht="11.25" customHeight="1"/>
    <row r="126" spans="1:7" s="44" customFormat="1" ht="12.75">
      <c r="A126" s="43" t="str">
        <f>Quantities!C159</f>
        <v>Road 18 b/ SR 18- Road F</v>
      </c>
      <c r="F126" s="45"/>
      <c r="G126" s="45"/>
    </row>
    <row r="127" spans="1:7" s="38" customFormat="1" ht="12.75">
      <c r="A127" s="44" t="str">
        <f>Quantities!AB177</f>
        <v>Length:  5325 Feet or 1.01 Mile(s)</v>
      </c>
      <c r="B127" s="46"/>
      <c r="C127" s="44"/>
      <c r="D127" s="47"/>
      <c r="F127" s="48"/>
      <c r="G127" s="48"/>
    </row>
    <row r="128" spans="1:7" s="38" customFormat="1" ht="12.75">
      <c r="A128" s="44" t="str">
        <f>Quantities!AB178</f>
        <v>Width:  13 Feet     (Approx. 7750 S.Y. including radius and driveway work)</v>
      </c>
      <c r="B128" s="44"/>
      <c r="C128" s="46"/>
      <c r="D128" s="49"/>
      <c r="F128" s="48"/>
      <c r="G128" s="48"/>
    </row>
    <row r="129" spans="1:7" s="38" customFormat="1" ht="13.5" thickBot="1">
      <c r="A129" s="44" t="str">
        <f>Quantities!AB179</f>
        <v>Type: ODOT Spec 823 </v>
      </c>
      <c r="B129" s="50"/>
      <c r="C129" s="50"/>
      <c r="D129" s="50"/>
      <c r="F129" s="48"/>
      <c r="G129" s="48"/>
    </row>
    <row r="130" spans="1:19" s="38" customFormat="1" ht="12.75">
      <c r="A130" s="136"/>
      <c r="B130" s="137"/>
      <c r="C130" s="138"/>
      <c r="D130" s="138"/>
      <c r="E130" s="139"/>
      <c r="F130" s="177" t="s">
        <v>150</v>
      </c>
      <c r="G130" s="178"/>
      <c r="H130" s="180" t="s">
        <v>151</v>
      </c>
      <c r="I130" s="181"/>
      <c r="J130" s="179" t="s">
        <v>152</v>
      </c>
      <c r="K130" s="179"/>
      <c r="L130" s="179" t="s">
        <v>153</v>
      </c>
      <c r="M130" s="179"/>
      <c r="N130" s="179" t="s">
        <v>154</v>
      </c>
      <c r="O130" s="179"/>
      <c r="P130" s="179" t="s">
        <v>155</v>
      </c>
      <c r="Q130" s="181"/>
      <c r="R130" s="182" t="s">
        <v>156</v>
      </c>
      <c r="S130" s="183"/>
    </row>
    <row r="131" spans="1:19" s="38" customFormat="1" ht="13.5" thickBot="1">
      <c r="A131" s="140" t="s">
        <v>1</v>
      </c>
      <c r="B131" s="141" t="s">
        <v>2</v>
      </c>
      <c r="C131" s="141" t="s">
        <v>36</v>
      </c>
      <c r="D131" s="141" t="s">
        <v>3</v>
      </c>
      <c r="E131" s="142" t="s">
        <v>4</v>
      </c>
      <c r="F131" s="143" t="s">
        <v>5</v>
      </c>
      <c r="G131" s="144" t="s">
        <v>6</v>
      </c>
      <c r="H131" s="119" t="s">
        <v>5</v>
      </c>
      <c r="I131" s="120" t="s">
        <v>6</v>
      </c>
      <c r="J131" s="119" t="s">
        <v>5</v>
      </c>
      <c r="K131" s="120" t="s">
        <v>6</v>
      </c>
      <c r="L131" s="119" t="s">
        <v>5</v>
      </c>
      <c r="M131" s="120" t="s">
        <v>6</v>
      </c>
      <c r="N131" s="119" t="s">
        <v>5</v>
      </c>
      <c r="O131" s="120" t="s">
        <v>6</v>
      </c>
      <c r="P131" s="119" t="s">
        <v>5</v>
      </c>
      <c r="Q131" s="120" t="s">
        <v>6</v>
      </c>
      <c r="R131" s="121" t="s">
        <v>5</v>
      </c>
      <c r="S131" s="122" t="s">
        <v>6</v>
      </c>
    </row>
    <row r="132" spans="1:19" s="58" customFormat="1" ht="13.5" thickTop="1">
      <c r="A132" s="123">
        <f>A108</f>
        <v>1</v>
      </c>
      <c r="B132" s="124">
        <f>LOOKUP($A132,Quantities!$T160:$T175,Quantities!AE160:AE175)</f>
        <v>407</v>
      </c>
      <c r="C132" s="124">
        <f>LOOKUP($A132,Quantities!$T160:$T175,Quantities!AF160:AF175)</f>
        <v>780</v>
      </c>
      <c r="D132" s="124" t="str">
        <f>LOOKUP($A132,Quantities!$T160:$T175,Quantities!AG160:AG175)</f>
        <v>Gal</v>
      </c>
      <c r="E132" s="124" t="str">
        <f>LOOKUP($A132,Quantities!$T160:$T175,Quantities!AR160:AR175)</f>
        <v>Bituminous Tack Coat applied at 0.05 gallons per square yard</v>
      </c>
      <c r="F132" s="125">
        <f>LOOKUP($A132,Quantities!$T160:$T175,Quantities!AQ160:AQ175)</f>
        <v>2.1</v>
      </c>
      <c r="G132" s="126">
        <f aca="true" t="shared" si="36" ref="G132:G147">IF(C132="",0,F132*C132)</f>
        <v>1638</v>
      </c>
      <c r="H132" s="151"/>
      <c r="I132" s="117">
        <f aca="true" t="shared" si="37" ref="I132:I147">IF($C132="",0,H132*$C132)</f>
        <v>0</v>
      </c>
      <c r="J132" s="151"/>
      <c r="K132" s="117">
        <f t="shared" si="26"/>
        <v>0</v>
      </c>
      <c r="L132" s="151"/>
      <c r="M132" s="117">
        <f t="shared" si="27"/>
        <v>0</v>
      </c>
      <c r="N132" s="151"/>
      <c r="O132" s="117">
        <f t="shared" si="28"/>
        <v>0</v>
      </c>
      <c r="P132" s="151"/>
      <c r="Q132" s="117">
        <f t="shared" si="29"/>
        <v>0</v>
      </c>
      <c r="R132" s="148"/>
      <c r="S132" s="118">
        <f t="shared" si="30"/>
        <v>0</v>
      </c>
    </row>
    <row r="133" spans="1:19" s="58" customFormat="1" ht="25.5">
      <c r="A133" s="127">
        <f aca="true" t="shared" si="38" ref="A133:A147">A132+1</f>
        <v>2</v>
      </c>
      <c r="B133" s="128">
        <f>LOOKUP($A133,Quantities!$T160:$T175,Quantities!AE160:AE175)</f>
        <v>823</v>
      </c>
      <c r="C133" s="128">
        <f>LOOKUP($A133,Quantities!$T160:$T175,Quantities!AF160:AF175)</f>
        <v>162</v>
      </c>
      <c r="D133" s="128" t="str">
        <f>LOOKUP($A133,Quantities!$T160:$T175,Quantities!AG160:AG175)</f>
        <v>C.Y.</v>
      </c>
      <c r="E133" s="128" t="str">
        <f>LOOKUP($A133,Quantities!$T160:$T175,Quantities!AR160:AR175)</f>
        <v>Asphalt intermediate course PG 64-22, Type 1 (823) applied, spread and compacted at the average depth of 0.75 inches</v>
      </c>
      <c r="F133" s="129">
        <f>LOOKUP($A133,Quantities!$T160:$T175,Quantities!AQ160:AQ175)</f>
        <v>185</v>
      </c>
      <c r="G133" s="130">
        <f t="shared" si="36"/>
        <v>29970</v>
      </c>
      <c r="H133" s="152"/>
      <c r="I133" s="115">
        <f t="shared" si="37"/>
        <v>0</v>
      </c>
      <c r="J133" s="152"/>
      <c r="K133" s="115">
        <f t="shared" si="26"/>
        <v>0</v>
      </c>
      <c r="L133" s="152"/>
      <c r="M133" s="115">
        <f t="shared" si="27"/>
        <v>0</v>
      </c>
      <c r="N133" s="152"/>
      <c r="O133" s="115">
        <f t="shared" si="28"/>
        <v>0</v>
      </c>
      <c r="P133" s="152"/>
      <c r="Q133" s="115">
        <f t="shared" si="29"/>
        <v>0</v>
      </c>
      <c r="R133" s="149"/>
      <c r="S133" s="113">
        <f t="shared" si="30"/>
        <v>0</v>
      </c>
    </row>
    <row r="134" spans="1:19" s="58" customFormat="1" ht="38.25">
      <c r="A134" s="127">
        <f t="shared" si="38"/>
        <v>3</v>
      </c>
      <c r="B134" s="128">
        <f>LOOKUP($A134,Quantities!$T160:$T175,Quantities!AE160:AE175)</f>
        <v>823</v>
      </c>
      <c r="C134" s="128">
        <f>LOOKUP($A134,Quantities!$T160:$T175,Quantities!AF160:AF175)</f>
        <v>270</v>
      </c>
      <c r="D134" s="128" t="str">
        <f>LOOKUP($A134,Quantities!$T160:$T175,Quantities!AG160:AG175)</f>
        <v>C.Y.</v>
      </c>
      <c r="E134" s="128" t="str">
        <f>LOOKUP($A134,Quantities!$T160:$T175,Quantities!AR160:AR175)</f>
        <v>Asphalt concrete surface course PG 64-22, Type 1 (823) applied, spread and compacted at the average depth of 1.25 inches</v>
      </c>
      <c r="F134" s="129">
        <f>LOOKUP($A134,Quantities!$T160:$T175,Quantities!AQ160:AQ175)</f>
        <v>185</v>
      </c>
      <c r="G134" s="130">
        <f t="shared" si="36"/>
        <v>49950</v>
      </c>
      <c r="H134" s="152"/>
      <c r="I134" s="115">
        <f t="shared" si="37"/>
        <v>0</v>
      </c>
      <c r="J134" s="152"/>
      <c r="K134" s="115">
        <f t="shared" si="26"/>
        <v>0</v>
      </c>
      <c r="L134" s="152"/>
      <c r="M134" s="115">
        <f t="shared" si="27"/>
        <v>0</v>
      </c>
      <c r="N134" s="152"/>
      <c r="O134" s="115">
        <f t="shared" si="28"/>
        <v>0</v>
      </c>
      <c r="P134" s="152"/>
      <c r="Q134" s="115">
        <f t="shared" si="29"/>
        <v>0</v>
      </c>
      <c r="R134" s="149"/>
      <c r="S134" s="113">
        <f t="shared" si="30"/>
        <v>0</v>
      </c>
    </row>
    <row r="135" spans="1:19" s="59" customFormat="1" ht="12.75">
      <c r="A135" s="127">
        <f t="shared" si="38"/>
        <v>4</v>
      </c>
      <c r="B135" s="128">
        <f>LOOKUP($A135,Quantities!$T160:$T175,Quantities!AE160:AE175)</f>
        <v>254</v>
      </c>
      <c r="C135" s="128">
        <f>LOOKUP($A135,Quantities!$T160:$T175,Quantities!AF160:AF175)</f>
        <v>120</v>
      </c>
      <c r="D135" s="128" t="str">
        <f>LOOKUP($A135,Quantities!$T160:$T175,Quantities!AG160:AG175)</f>
        <v>S.Y.</v>
      </c>
      <c r="E135" s="128" t="str">
        <f>LOOKUP($A135,Quantities!$T160:$T175,Quantities!AR160:AR175)</f>
        <v>Pavement Planing (20' length including radius)</v>
      </c>
      <c r="F135" s="129">
        <f>LOOKUP($A135,Quantities!$T160:$T175,Quantities!AQ160:AQ175)</f>
        <v>12</v>
      </c>
      <c r="G135" s="130">
        <f t="shared" si="36"/>
        <v>1440</v>
      </c>
      <c r="H135" s="152"/>
      <c r="I135" s="115">
        <f t="shared" si="37"/>
        <v>0</v>
      </c>
      <c r="J135" s="152"/>
      <c r="K135" s="115">
        <f t="shared" si="26"/>
        <v>0</v>
      </c>
      <c r="L135" s="152"/>
      <c r="M135" s="115">
        <f t="shared" si="27"/>
        <v>0</v>
      </c>
      <c r="N135" s="152"/>
      <c r="O135" s="115">
        <f t="shared" si="28"/>
        <v>0</v>
      </c>
      <c r="P135" s="152"/>
      <c r="Q135" s="115">
        <f t="shared" si="29"/>
        <v>0</v>
      </c>
      <c r="R135" s="149"/>
      <c r="S135" s="113">
        <f t="shared" si="30"/>
        <v>0</v>
      </c>
    </row>
    <row r="136" spans="1:19" s="58" customFormat="1" ht="12.75">
      <c r="A136" s="127">
        <f t="shared" si="38"/>
        <v>5</v>
      </c>
      <c r="B136" s="128">
        <f>LOOKUP($A136,Quantities!$T160:$T175,Quantities!AE160:AE175)</f>
        <v>614</v>
      </c>
      <c r="C136" s="128">
        <f>LOOKUP($A136,Quantities!$T160:$T175,Quantities!AF160:AF175)</f>
        <v>1</v>
      </c>
      <c r="D136" s="128" t="str">
        <f>LOOKUP($A136,Quantities!$T160:$T175,Quantities!AG160:AG175)</f>
        <v>L.S.</v>
      </c>
      <c r="E136" s="128" t="str">
        <f>LOOKUP($A136,Quantities!$T160:$T175,Quantities!AR160:AR175)</f>
        <v>Maintaining Traffic</v>
      </c>
      <c r="F136" s="129">
        <f>LOOKUP($A136,Quantities!$T160:$T175,Quantities!AQ160:AQ175)</f>
        <v>3000</v>
      </c>
      <c r="G136" s="130">
        <f t="shared" si="36"/>
        <v>3000</v>
      </c>
      <c r="H136" s="152"/>
      <c r="I136" s="115">
        <f t="shared" si="37"/>
        <v>0</v>
      </c>
      <c r="J136" s="152"/>
      <c r="K136" s="115">
        <f t="shared" si="26"/>
        <v>0</v>
      </c>
      <c r="L136" s="152"/>
      <c r="M136" s="115">
        <f t="shared" si="27"/>
        <v>0</v>
      </c>
      <c r="N136" s="152"/>
      <c r="O136" s="115">
        <f t="shared" si="28"/>
        <v>0</v>
      </c>
      <c r="P136" s="152"/>
      <c r="Q136" s="115">
        <f t="shared" si="29"/>
        <v>0</v>
      </c>
      <c r="R136" s="149"/>
      <c r="S136" s="113">
        <f t="shared" si="30"/>
        <v>0</v>
      </c>
    </row>
    <row r="137" spans="1:19" s="58" customFormat="1" ht="12.75">
      <c r="A137" s="127">
        <f t="shared" si="38"/>
        <v>6</v>
      </c>
      <c r="B137" s="128">
        <f>LOOKUP($A137,Quantities!$T160:$T175,Quantities!AE160:AE175)</f>
        <v>624</v>
      </c>
      <c r="C137" s="128">
        <f>LOOKUP($A137,Quantities!$T160:$T175,Quantities!AF160:AF175)</f>
        <v>1</v>
      </c>
      <c r="D137" s="128" t="str">
        <f>LOOKUP($A137,Quantities!$T160:$T175,Quantities!AG160:AG175)</f>
        <v>L.S.</v>
      </c>
      <c r="E137" s="128" t="str">
        <f>LOOKUP($A137,Quantities!$T160:$T175,Quantities!AR160:AR175)</f>
        <v>Mobilization</v>
      </c>
      <c r="F137" s="129">
        <f>LOOKUP($A137,Quantities!$T160:$T175,Quantities!AQ160:AQ175)</f>
        <v>1500</v>
      </c>
      <c r="G137" s="130">
        <f t="shared" si="36"/>
        <v>1500</v>
      </c>
      <c r="H137" s="152"/>
      <c r="I137" s="115">
        <f t="shared" si="37"/>
        <v>0</v>
      </c>
      <c r="J137" s="152"/>
      <c r="K137" s="115">
        <f t="shared" si="26"/>
        <v>0</v>
      </c>
      <c r="L137" s="152"/>
      <c r="M137" s="115">
        <f t="shared" si="27"/>
        <v>0</v>
      </c>
      <c r="N137" s="152"/>
      <c r="O137" s="115">
        <f t="shared" si="28"/>
        <v>0</v>
      </c>
      <c r="P137" s="152"/>
      <c r="Q137" s="115">
        <f t="shared" si="29"/>
        <v>0</v>
      </c>
      <c r="R137" s="149"/>
      <c r="S137" s="113">
        <f t="shared" si="30"/>
        <v>0</v>
      </c>
    </row>
    <row r="138" spans="1:19" s="58" customFormat="1" ht="12.75">
      <c r="A138" s="127">
        <f t="shared" si="38"/>
        <v>7</v>
      </c>
      <c r="B138" s="128">
        <f>LOOKUP($A138,Quantities!$T160:$T175,Quantities!AE160:AE175)</f>
        <v>103.05</v>
      </c>
      <c r="C138" s="128">
        <f>LOOKUP($A138,Quantities!$T160:$T175,Quantities!AF160:AF175)</f>
        <v>1</v>
      </c>
      <c r="D138" s="128" t="str">
        <f>LOOKUP($A138,Quantities!$T160:$T175,Quantities!AG160:AG175)</f>
        <v>L.S.</v>
      </c>
      <c r="E138" s="128" t="str">
        <f>LOOKUP($A138,Quantities!$T160:$T175,Quantities!AR160:AR175)</f>
        <v>Contract Performance &amp; Payment Bond</v>
      </c>
      <c r="F138" s="129">
        <f>LOOKUP($A138,Quantities!$T160:$T175,Quantities!AQ160:AQ175)</f>
        <v>1002</v>
      </c>
      <c r="G138" s="130">
        <f t="shared" si="36"/>
        <v>1002</v>
      </c>
      <c r="H138" s="152"/>
      <c r="I138" s="115">
        <f t="shared" si="37"/>
        <v>0</v>
      </c>
      <c r="J138" s="152"/>
      <c r="K138" s="115">
        <f t="shared" si="26"/>
        <v>0</v>
      </c>
      <c r="L138" s="152"/>
      <c r="M138" s="115">
        <f t="shared" si="27"/>
        <v>0</v>
      </c>
      <c r="N138" s="152"/>
      <c r="O138" s="115">
        <f t="shared" si="28"/>
        <v>0</v>
      </c>
      <c r="P138" s="152"/>
      <c r="Q138" s="115">
        <f t="shared" si="29"/>
        <v>0</v>
      </c>
      <c r="R138" s="149"/>
      <c r="S138" s="113">
        <f t="shared" si="30"/>
        <v>0</v>
      </c>
    </row>
    <row r="139" spans="1:19" s="58" customFormat="1" ht="12.75">
      <c r="A139" s="127">
        <f t="shared" si="38"/>
        <v>8</v>
      </c>
      <c r="B139" s="128">
        <f>LOOKUP($A139,Quantities!$T160:$T175,Quantities!AE160:AE175)</f>
      </c>
      <c r="C139" s="128">
        <f>LOOKUP($A139,Quantities!$T160:$T175,Quantities!AF160:AF175)</f>
      </c>
      <c r="D139" s="128">
        <f>LOOKUP($A139,Quantities!$T160:$T175,Quantities!AG160:AG175)</f>
      </c>
      <c r="E139" s="128">
        <f>LOOKUP($A139,Quantities!$T160:$T175,Quantities!AR160:AR175)</f>
      </c>
      <c r="F139" s="129">
        <f>LOOKUP($A139,Quantities!$T160:$T175,Quantities!AQ160:AQ175)</f>
        <v>0</v>
      </c>
      <c r="G139" s="130">
        <f t="shared" si="36"/>
        <v>0</v>
      </c>
      <c r="H139" s="152"/>
      <c r="I139" s="115">
        <f t="shared" si="37"/>
        <v>0</v>
      </c>
      <c r="J139" s="152"/>
      <c r="K139" s="115">
        <f t="shared" si="26"/>
        <v>0</v>
      </c>
      <c r="L139" s="152"/>
      <c r="M139" s="115">
        <f t="shared" si="27"/>
        <v>0</v>
      </c>
      <c r="N139" s="152"/>
      <c r="O139" s="115">
        <f t="shared" si="28"/>
        <v>0</v>
      </c>
      <c r="P139" s="152"/>
      <c r="Q139" s="115">
        <f t="shared" si="29"/>
        <v>0</v>
      </c>
      <c r="R139" s="149"/>
      <c r="S139" s="113">
        <f t="shared" si="30"/>
        <v>0</v>
      </c>
    </row>
    <row r="140" spans="1:19" s="58" customFormat="1" ht="12.75">
      <c r="A140" s="127">
        <f t="shared" si="38"/>
        <v>9</v>
      </c>
      <c r="B140" s="128">
        <f>LOOKUP($A140,Quantities!$T160:$T175,Quantities!AE160:AE175)</f>
      </c>
      <c r="C140" s="128">
        <f>LOOKUP($A140,Quantities!$T160:$T175,Quantities!AF160:AF175)</f>
      </c>
      <c r="D140" s="128">
        <f>LOOKUP($A140,Quantities!$T160:$T175,Quantities!AG160:AG175)</f>
      </c>
      <c r="E140" s="128">
        <f>LOOKUP($A140,Quantities!$T160:$T175,Quantities!AR160:AR175)</f>
      </c>
      <c r="F140" s="129">
        <f>LOOKUP($A140,Quantities!$T160:$T175,Quantities!AQ160:AQ175)</f>
        <v>0</v>
      </c>
      <c r="G140" s="130">
        <f t="shared" si="36"/>
        <v>0</v>
      </c>
      <c r="H140" s="152"/>
      <c r="I140" s="115">
        <f t="shared" si="37"/>
        <v>0</v>
      </c>
      <c r="J140" s="152"/>
      <c r="K140" s="115">
        <f t="shared" si="26"/>
        <v>0</v>
      </c>
      <c r="L140" s="152"/>
      <c r="M140" s="115">
        <f t="shared" si="27"/>
        <v>0</v>
      </c>
      <c r="N140" s="152"/>
      <c r="O140" s="115">
        <f t="shared" si="28"/>
        <v>0</v>
      </c>
      <c r="P140" s="152"/>
      <c r="Q140" s="115">
        <f t="shared" si="29"/>
        <v>0</v>
      </c>
      <c r="R140" s="149"/>
      <c r="S140" s="113">
        <f t="shared" si="30"/>
        <v>0</v>
      </c>
    </row>
    <row r="141" spans="1:19" s="58" customFormat="1" ht="12.75">
      <c r="A141" s="127">
        <f t="shared" si="38"/>
        <v>10</v>
      </c>
      <c r="B141" s="128">
        <f>LOOKUP($A141,Quantities!$T160:$T175,Quantities!AE160:AE175)</f>
      </c>
      <c r="C141" s="128">
        <f>LOOKUP($A141,Quantities!$T160:$T175,Quantities!AF160:AF175)</f>
      </c>
      <c r="D141" s="128">
        <f>LOOKUP($A141,Quantities!$T160:$T175,Quantities!AG160:AG175)</f>
      </c>
      <c r="E141" s="128">
        <f>LOOKUP($A141,Quantities!$T160:$T175,Quantities!AR160:AR175)</f>
      </c>
      <c r="F141" s="129">
        <f>LOOKUP($A141,Quantities!$T160:$T175,Quantities!AQ160:AQ175)</f>
        <v>0</v>
      </c>
      <c r="G141" s="130">
        <f t="shared" si="36"/>
        <v>0</v>
      </c>
      <c r="H141" s="152"/>
      <c r="I141" s="115">
        <f t="shared" si="37"/>
        <v>0</v>
      </c>
      <c r="J141" s="152"/>
      <c r="K141" s="115">
        <f t="shared" si="26"/>
        <v>0</v>
      </c>
      <c r="L141" s="152"/>
      <c r="M141" s="115">
        <f t="shared" si="27"/>
        <v>0</v>
      </c>
      <c r="N141" s="152"/>
      <c r="O141" s="115">
        <f t="shared" si="28"/>
        <v>0</v>
      </c>
      <c r="P141" s="152"/>
      <c r="Q141" s="115">
        <f t="shared" si="29"/>
        <v>0</v>
      </c>
      <c r="R141" s="149"/>
      <c r="S141" s="113">
        <f t="shared" si="30"/>
        <v>0</v>
      </c>
    </row>
    <row r="142" spans="1:19" s="58" customFormat="1" ht="12.75">
      <c r="A142" s="127">
        <f t="shared" si="38"/>
        <v>11</v>
      </c>
      <c r="B142" s="128">
        <f>LOOKUP($A142,Quantities!$T160:$T175,Quantities!AE160:AE175)</f>
      </c>
      <c r="C142" s="128">
        <f>LOOKUP($A142,Quantities!$T160:$T175,Quantities!AF160:AF175)</f>
      </c>
      <c r="D142" s="128">
        <f>LOOKUP($A142,Quantities!$T160:$T175,Quantities!AG160:AG175)</f>
      </c>
      <c r="E142" s="128">
        <f>LOOKUP($A142,Quantities!$T160:$T175,Quantities!AR160:AR175)</f>
      </c>
      <c r="F142" s="129">
        <f>LOOKUP($A142,Quantities!$T160:$T175,Quantities!AQ160:AQ175)</f>
        <v>0</v>
      </c>
      <c r="G142" s="130">
        <f t="shared" si="36"/>
        <v>0</v>
      </c>
      <c r="H142" s="152"/>
      <c r="I142" s="115">
        <f t="shared" si="37"/>
        <v>0</v>
      </c>
      <c r="J142" s="152"/>
      <c r="K142" s="115">
        <f t="shared" si="26"/>
        <v>0</v>
      </c>
      <c r="L142" s="152"/>
      <c r="M142" s="115">
        <f t="shared" si="27"/>
        <v>0</v>
      </c>
      <c r="N142" s="152"/>
      <c r="O142" s="115">
        <f t="shared" si="28"/>
        <v>0</v>
      </c>
      <c r="P142" s="152"/>
      <c r="Q142" s="115">
        <f t="shared" si="29"/>
        <v>0</v>
      </c>
      <c r="R142" s="149"/>
      <c r="S142" s="113">
        <f t="shared" si="30"/>
        <v>0</v>
      </c>
    </row>
    <row r="143" spans="1:19" s="58" customFormat="1" ht="12.75">
      <c r="A143" s="127">
        <f t="shared" si="38"/>
        <v>12</v>
      </c>
      <c r="B143" s="128">
        <f>LOOKUP($A143,Quantities!$T160:$T175,Quantities!AE160:AE175)</f>
      </c>
      <c r="C143" s="128">
        <f>LOOKUP($A143,Quantities!$T160:$T175,Quantities!AF160:AF175)</f>
      </c>
      <c r="D143" s="128">
        <f>LOOKUP($A143,Quantities!$T160:$T175,Quantities!AG160:AG175)</f>
      </c>
      <c r="E143" s="128">
        <f>LOOKUP($A143,Quantities!$T160:$T175,Quantities!AR160:AR175)</f>
      </c>
      <c r="F143" s="129">
        <f>LOOKUP($A143,Quantities!$T160:$T175,Quantities!AQ160:AQ175)</f>
        <v>0</v>
      </c>
      <c r="G143" s="130">
        <f t="shared" si="36"/>
        <v>0</v>
      </c>
      <c r="H143" s="152"/>
      <c r="I143" s="115">
        <f t="shared" si="37"/>
        <v>0</v>
      </c>
      <c r="J143" s="152"/>
      <c r="K143" s="115">
        <f t="shared" si="26"/>
        <v>0</v>
      </c>
      <c r="L143" s="152"/>
      <c r="M143" s="115">
        <f t="shared" si="27"/>
        <v>0</v>
      </c>
      <c r="N143" s="152"/>
      <c r="O143" s="115">
        <f t="shared" si="28"/>
        <v>0</v>
      </c>
      <c r="P143" s="152"/>
      <c r="Q143" s="115">
        <f t="shared" si="29"/>
        <v>0</v>
      </c>
      <c r="R143" s="149"/>
      <c r="S143" s="113">
        <f t="shared" si="30"/>
        <v>0</v>
      </c>
    </row>
    <row r="144" spans="1:19" s="58" customFormat="1" ht="12.75">
      <c r="A144" s="127">
        <f t="shared" si="38"/>
        <v>13</v>
      </c>
      <c r="B144" s="128">
        <f>LOOKUP($A144,Quantities!$T160:$T175,Quantities!AE160:AE175)</f>
      </c>
      <c r="C144" s="128">
        <f>LOOKUP($A144,Quantities!$T160:$T175,Quantities!AF160:AF175)</f>
      </c>
      <c r="D144" s="128">
        <f>LOOKUP($A144,Quantities!$T160:$T175,Quantities!AG160:AG175)</f>
      </c>
      <c r="E144" s="128">
        <f>LOOKUP($A144,Quantities!$T160:$T175,Quantities!AR160:AR175)</f>
      </c>
      <c r="F144" s="129">
        <f>LOOKUP($A144,Quantities!$T160:$T175,Quantities!AQ160:AQ175)</f>
        <v>0</v>
      </c>
      <c r="G144" s="130">
        <f t="shared" si="36"/>
        <v>0</v>
      </c>
      <c r="H144" s="152"/>
      <c r="I144" s="115">
        <f t="shared" si="37"/>
        <v>0</v>
      </c>
      <c r="J144" s="152"/>
      <c r="K144" s="115">
        <f t="shared" si="26"/>
        <v>0</v>
      </c>
      <c r="L144" s="152"/>
      <c r="M144" s="115">
        <f t="shared" si="27"/>
        <v>0</v>
      </c>
      <c r="N144" s="152"/>
      <c r="O144" s="115">
        <f t="shared" si="28"/>
        <v>0</v>
      </c>
      <c r="P144" s="152"/>
      <c r="Q144" s="115">
        <f t="shared" si="29"/>
        <v>0</v>
      </c>
      <c r="R144" s="149"/>
      <c r="S144" s="113">
        <f t="shared" si="30"/>
        <v>0</v>
      </c>
    </row>
    <row r="145" spans="1:19" s="58" customFormat="1" ht="12.75">
      <c r="A145" s="127">
        <f t="shared" si="38"/>
        <v>14</v>
      </c>
      <c r="B145" s="128">
        <f>LOOKUP($A145,Quantities!$T160:$T175,Quantities!AE160:AE175)</f>
      </c>
      <c r="C145" s="128">
        <f>LOOKUP($A145,Quantities!$T160:$T175,Quantities!AF160:AF175)</f>
      </c>
      <c r="D145" s="128">
        <f>LOOKUP($A145,Quantities!$T160:$T175,Quantities!AG160:AG175)</f>
      </c>
      <c r="E145" s="128">
        <f>LOOKUP($A145,Quantities!$T160:$T175,Quantities!AR160:AR175)</f>
      </c>
      <c r="F145" s="129">
        <f>LOOKUP($A145,Quantities!$T160:$T175,Quantities!AQ160:AQ175)</f>
        <v>0</v>
      </c>
      <c r="G145" s="130">
        <f t="shared" si="36"/>
        <v>0</v>
      </c>
      <c r="H145" s="152"/>
      <c r="I145" s="115">
        <f t="shared" si="37"/>
        <v>0</v>
      </c>
      <c r="J145" s="152"/>
      <c r="K145" s="115">
        <f t="shared" si="26"/>
        <v>0</v>
      </c>
      <c r="L145" s="152"/>
      <c r="M145" s="115">
        <f t="shared" si="27"/>
        <v>0</v>
      </c>
      <c r="N145" s="152"/>
      <c r="O145" s="115">
        <f t="shared" si="28"/>
        <v>0</v>
      </c>
      <c r="P145" s="152"/>
      <c r="Q145" s="115">
        <f t="shared" si="29"/>
        <v>0</v>
      </c>
      <c r="R145" s="149"/>
      <c r="S145" s="113">
        <f t="shared" si="30"/>
        <v>0</v>
      </c>
    </row>
    <row r="146" spans="1:19" s="59" customFormat="1" ht="12.75">
      <c r="A146" s="127">
        <f t="shared" si="38"/>
        <v>15</v>
      </c>
      <c r="B146" s="128">
        <f>LOOKUP($A146,Quantities!$T160:$T175,Quantities!AE160:AE175)</f>
      </c>
      <c r="C146" s="128">
        <f>LOOKUP($A146,Quantities!$T160:$T175,Quantities!AF160:AF175)</f>
      </c>
      <c r="D146" s="128">
        <f>LOOKUP($A146,Quantities!$T160:$T175,Quantities!AG160:AG175)</f>
      </c>
      <c r="E146" s="128">
        <f>LOOKUP($A146,Quantities!$T160:$T175,Quantities!AR160:AR175)</f>
      </c>
      <c r="F146" s="129">
        <f>LOOKUP($A146,Quantities!$T160:$T175,Quantities!AQ160:AQ175)</f>
        <v>0</v>
      </c>
      <c r="G146" s="130">
        <f t="shared" si="36"/>
        <v>0</v>
      </c>
      <c r="H146" s="152"/>
      <c r="I146" s="115">
        <f t="shared" si="37"/>
        <v>0</v>
      </c>
      <c r="J146" s="152"/>
      <c r="K146" s="115">
        <f t="shared" si="26"/>
        <v>0</v>
      </c>
      <c r="L146" s="152"/>
      <c r="M146" s="115">
        <f t="shared" si="27"/>
        <v>0</v>
      </c>
      <c r="N146" s="152"/>
      <c r="O146" s="115">
        <f t="shared" si="28"/>
        <v>0</v>
      </c>
      <c r="P146" s="152"/>
      <c r="Q146" s="115">
        <f t="shared" si="29"/>
        <v>0</v>
      </c>
      <c r="R146" s="149"/>
      <c r="S146" s="113">
        <f t="shared" si="30"/>
        <v>0</v>
      </c>
    </row>
    <row r="147" spans="1:19" s="59" customFormat="1" ht="12.75">
      <c r="A147" s="127">
        <f t="shared" si="38"/>
        <v>16</v>
      </c>
      <c r="B147" s="128">
        <f>LOOKUP($A147,Quantities!$T160:$T175,Quantities!AE160:AE175)</f>
      </c>
      <c r="C147" s="128">
        <f>LOOKUP($A147,Quantities!$T160:$T175,Quantities!AF160:AF175)</f>
      </c>
      <c r="D147" s="128">
        <f>LOOKUP($A147,Quantities!$T160:$T175,Quantities!AG160:AG175)</f>
      </c>
      <c r="E147" s="128">
        <f>LOOKUP($A147,Quantities!$T160:$T175,Quantities!AR160:AR175)</f>
      </c>
      <c r="F147" s="129">
        <f>LOOKUP($A147,Quantities!$T160:$T175,Quantities!AQ160:AQ175)</f>
        <v>0</v>
      </c>
      <c r="G147" s="130">
        <f t="shared" si="36"/>
        <v>0</v>
      </c>
      <c r="H147" s="152"/>
      <c r="I147" s="115">
        <f t="shared" si="37"/>
        <v>0</v>
      </c>
      <c r="J147" s="152"/>
      <c r="K147" s="115">
        <f t="shared" si="26"/>
        <v>0</v>
      </c>
      <c r="L147" s="152"/>
      <c r="M147" s="115">
        <f t="shared" si="27"/>
        <v>0</v>
      </c>
      <c r="N147" s="152"/>
      <c r="O147" s="115">
        <f t="shared" si="28"/>
        <v>0</v>
      </c>
      <c r="P147" s="152"/>
      <c r="Q147" s="115">
        <f t="shared" si="29"/>
        <v>0</v>
      </c>
      <c r="R147" s="149"/>
      <c r="S147" s="113">
        <f t="shared" si="30"/>
        <v>0</v>
      </c>
    </row>
    <row r="148" spans="1:19" ht="13.5" thickBot="1">
      <c r="A148" s="131"/>
      <c r="B148" s="132"/>
      <c r="C148" s="132"/>
      <c r="D148" s="132"/>
      <c r="E148" s="133" t="s">
        <v>129</v>
      </c>
      <c r="F148" s="134"/>
      <c r="G148" s="135">
        <f>SUM(G132:G147)</f>
        <v>88500</v>
      </c>
      <c r="H148" s="153"/>
      <c r="I148" s="116">
        <f>SUM(I132:I147)</f>
        <v>0</v>
      </c>
      <c r="J148" s="153"/>
      <c r="K148" s="116">
        <f>SUM(K132:K147)</f>
        <v>0</v>
      </c>
      <c r="L148" s="153"/>
      <c r="M148" s="116">
        <f>SUM(M132:M147)</f>
        <v>0</v>
      </c>
      <c r="N148" s="153"/>
      <c r="O148" s="116">
        <f>SUM(O132:O147)</f>
        <v>0</v>
      </c>
      <c r="P148" s="153"/>
      <c r="Q148" s="116">
        <f>SUM(Q132:Q147)</f>
        <v>0</v>
      </c>
      <c r="R148" s="150"/>
      <c r="S148" s="114">
        <f>SUM(S132:S147)</f>
        <v>0</v>
      </c>
    </row>
    <row r="149" ht="11.25" customHeight="1"/>
    <row r="150" spans="1:7" s="44" customFormat="1" ht="12.75">
      <c r="A150" s="43" t="str">
        <f>Quantities!C190</f>
        <v>Road 12 b/ Road K- Road O (Old US 6)</v>
      </c>
      <c r="F150" s="45"/>
      <c r="G150" s="45"/>
    </row>
    <row r="151" spans="1:7" s="38" customFormat="1" ht="12.75">
      <c r="A151" s="44" t="str">
        <f>Quantities!AB208</f>
        <v>Length:  21630 Feet or 4.1 Mile(s)</v>
      </c>
      <c r="B151" s="46"/>
      <c r="C151" s="44"/>
      <c r="D151" s="47"/>
      <c r="F151" s="48"/>
      <c r="G151" s="48"/>
    </row>
    <row r="152" spans="1:7" s="38" customFormat="1" ht="12.75">
      <c r="A152" s="44" t="str">
        <f>Quantities!AB209</f>
        <v>Width:  18.75 Feet     (Approx. 45565 S.Y. including radius and driveway work)</v>
      </c>
      <c r="B152" s="44"/>
      <c r="C152" s="46"/>
      <c r="D152" s="49"/>
      <c r="F152" s="48"/>
      <c r="G152" s="48"/>
    </row>
    <row r="153" spans="1:7" s="38" customFormat="1" ht="13.5" thickBot="1">
      <c r="A153" s="44" t="str">
        <f>Quantities!AB210</f>
        <v>Type: ODOT Spec 823 </v>
      </c>
      <c r="B153" s="50"/>
      <c r="C153" s="50"/>
      <c r="D153" s="50"/>
      <c r="F153" s="48"/>
      <c r="G153" s="48"/>
    </row>
    <row r="154" spans="1:19" s="38" customFormat="1" ht="12.75">
      <c r="A154" s="136"/>
      <c r="B154" s="137"/>
      <c r="C154" s="138"/>
      <c r="D154" s="138"/>
      <c r="E154" s="139"/>
      <c r="F154" s="177" t="s">
        <v>150</v>
      </c>
      <c r="G154" s="178"/>
      <c r="H154" s="180" t="s">
        <v>151</v>
      </c>
      <c r="I154" s="181"/>
      <c r="J154" s="179" t="s">
        <v>152</v>
      </c>
      <c r="K154" s="179"/>
      <c r="L154" s="179" t="s">
        <v>153</v>
      </c>
      <c r="M154" s="179"/>
      <c r="N154" s="179" t="s">
        <v>154</v>
      </c>
      <c r="O154" s="179"/>
      <c r="P154" s="179" t="s">
        <v>155</v>
      </c>
      <c r="Q154" s="181"/>
      <c r="R154" s="182" t="s">
        <v>156</v>
      </c>
      <c r="S154" s="183"/>
    </row>
    <row r="155" spans="1:19" s="38" customFormat="1" ht="13.5" thickBot="1">
      <c r="A155" s="140" t="s">
        <v>1</v>
      </c>
      <c r="B155" s="141" t="s">
        <v>2</v>
      </c>
      <c r="C155" s="141" t="s">
        <v>36</v>
      </c>
      <c r="D155" s="141" t="s">
        <v>3</v>
      </c>
      <c r="E155" s="142" t="s">
        <v>4</v>
      </c>
      <c r="F155" s="143" t="s">
        <v>5</v>
      </c>
      <c r="G155" s="144" t="s">
        <v>6</v>
      </c>
      <c r="H155" s="119" t="s">
        <v>5</v>
      </c>
      <c r="I155" s="120" t="s">
        <v>6</v>
      </c>
      <c r="J155" s="119" t="s">
        <v>5</v>
      </c>
      <c r="K155" s="120" t="s">
        <v>6</v>
      </c>
      <c r="L155" s="119" t="s">
        <v>5</v>
      </c>
      <c r="M155" s="120" t="s">
        <v>6</v>
      </c>
      <c r="N155" s="119" t="s">
        <v>5</v>
      </c>
      <c r="O155" s="120" t="s">
        <v>6</v>
      </c>
      <c r="P155" s="119" t="s">
        <v>5</v>
      </c>
      <c r="Q155" s="120" t="s">
        <v>6</v>
      </c>
      <c r="R155" s="121" t="s">
        <v>5</v>
      </c>
      <c r="S155" s="122" t="s">
        <v>6</v>
      </c>
    </row>
    <row r="156" spans="1:19" s="58" customFormat="1" ht="13.5" thickTop="1">
      <c r="A156" s="123">
        <f>A132</f>
        <v>1</v>
      </c>
      <c r="B156" s="124">
        <f>LOOKUP($A156,Quantities!$T191:$T206,Quantities!AE191:AE206)</f>
        <v>407</v>
      </c>
      <c r="C156" s="124">
        <f>LOOKUP($A156,Quantities!$T191:$T206,Quantities!AF191:AF206)</f>
        <v>2280</v>
      </c>
      <c r="D156" s="124" t="str">
        <f>LOOKUP($A156,Quantities!$T191:$T206,Quantities!AG191:AG206)</f>
        <v>Gal</v>
      </c>
      <c r="E156" s="124" t="str">
        <f>LOOKUP($A156,Quantities!$T191:$T206,Quantities!AR191:AR206)</f>
        <v>Bituminous Tack Coat applied at 0.05 gallons per square yard</v>
      </c>
      <c r="F156" s="125">
        <f>LOOKUP($A156,Quantities!$T191:$T206,Quantities!AQ191:AQ206)</f>
        <v>2.1</v>
      </c>
      <c r="G156" s="126">
        <f aca="true" t="shared" si="39" ref="G156:G171">IF(C156="",0,F156*C156)</f>
        <v>4788</v>
      </c>
      <c r="H156" s="151"/>
      <c r="I156" s="117">
        <f aca="true" t="shared" si="40" ref="I156:I171">IF($C156="",0,H156*$C156)</f>
        <v>0</v>
      </c>
      <c r="J156" s="151"/>
      <c r="K156" s="117">
        <f aca="true" t="shared" si="41" ref="K156:K171">IF($C156="",0,J156*$C156)</f>
        <v>0</v>
      </c>
      <c r="L156" s="151"/>
      <c r="M156" s="117">
        <f aca="true" t="shared" si="42" ref="M156:M171">IF($C156="",0,L156*$C156)</f>
        <v>0</v>
      </c>
      <c r="N156" s="151"/>
      <c r="O156" s="117">
        <f aca="true" t="shared" si="43" ref="O156:O171">IF($C156="",0,N156*$C156)</f>
        <v>0</v>
      </c>
      <c r="P156" s="151"/>
      <c r="Q156" s="117">
        <f aca="true" t="shared" si="44" ref="Q156:Q171">IF($C156="",0,P156*$C156)</f>
        <v>0</v>
      </c>
      <c r="R156" s="148"/>
      <c r="S156" s="118">
        <f aca="true" t="shared" si="45" ref="S156:S171">IF($C156="",0,R156*$C156)</f>
        <v>0</v>
      </c>
    </row>
    <row r="157" spans="1:19" s="58" customFormat="1" ht="38.25">
      <c r="A157" s="127">
        <f aca="true" t="shared" si="46" ref="A157:A171">A156+1</f>
        <v>2</v>
      </c>
      <c r="B157" s="128">
        <f>LOOKUP($A157,Quantities!$T191:$T206,Quantities!AE191:AE206)</f>
        <v>823</v>
      </c>
      <c r="C157" s="128">
        <f>LOOKUP($A157,Quantities!$T191:$T206,Quantities!AF191:AF206)</f>
        <v>1899</v>
      </c>
      <c r="D157" s="128" t="str">
        <f>LOOKUP($A157,Quantities!$T191:$T206,Quantities!AG191:AG206)</f>
        <v>C.Y.</v>
      </c>
      <c r="E157" s="128" t="str">
        <f>LOOKUP($A157,Quantities!$T191:$T206,Quantities!AR191:AR206)</f>
        <v>Asphalt concrete surface course PG 64-22, Type 1 (823) applied, spread and compacted at the average depth of 1.5 inches</v>
      </c>
      <c r="F157" s="129">
        <f>LOOKUP($A157,Quantities!$T191:$T206,Quantities!AQ191:AQ206)</f>
        <v>185</v>
      </c>
      <c r="G157" s="130">
        <f t="shared" si="39"/>
        <v>351315</v>
      </c>
      <c r="H157" s="152"/>
      <c r="I157" s="115">
        <f t="shared" si="40"/>
        <v>0</v>
      </c>
      <c r="J157" s="152"/>
      <c r="K157" s="115">
        <f t="shared" si="41"/>
        <v>0</v>
      </c>
      <c r="L157" s="152"/>
      <c r="M157" s="115">
        <f t="shared" si="42"/>
        <v>0</v>
      </c>
      <c r="N157" s="152"/>
      <c r="O157" s="115">
        <f t="shared" si="43"/>
        <v>0</v>
      </c>
      <c r="P157" s="152"/>
      <c r="Q157" s="115">
        <f t="shared" si="44"/>
        <v>0</v>
      </c>
      <c r="R157" s="149"/>
      <c r="S157" s="113">
        <f t="shared" si="45"/>
        <v>0</v>
      </c>
    </row>
    <row r="158" spans="1:19" s="58" customFormat="1" ht="12.75">
      <c r="A158" s="127">
        <f t="shared" si="46"/>
        <v>3</v>
      </c>
      <c r="B158" s="128">
        <f>LOOKUP($A158,Quantities!$T191:$T206,Quantities!AE191:AE206)</f>
        <v>254</v>
      </c>
      <c r="C158" s="128">
        <f>LOOKUP($A158,Quantities!$T191:$T206,Quantities!AF191:AF206)</f>
        <v>550</v>
      </c>
      <c r="D158" s="128" t="str">
        <f>LOOKUP($A158,Quantities!$T191:$T206,Quantities!AG191:AG206)</f>
        <v>S.Y.</v>
      </c>
      <c r="E158" s="128" t="str">
        <f>LOOKUP($A158,Quantities!$T191:$T206,Quantities!AR191:AR206)</f>
        <v>Pavement Planing (20' length including radius)</v>
      </c>
      <c r="F158" s="129">
        <f>LOOKUP($A158,Quantities!$T191:$T206,Quantities!AQ191:AQ206)</f>
        <v>12</v>
      </c>
      <c r="G158" s="130">
        <f t="shared" si="39"/>
        <v>6600</v>
      </c>
      <c r="H158" s="152"/>
      <c r="I158" s="115">
        <f t="shared" si="40"/>
        <v>0</v>
      </c>
      <c r="J158" s="152"/>
      <c r="K158" s="115">
        <f t="shared" si="41"/>
        <v>0</v>
      </c>
      <c r="L158" s="152"/>
      <c r="M158" s="115">
        <f t="shared" si="42"/>
        <v>0</v>
      </c>
      <c r="N158" s="152"/>
      <c r="O158" s="115">
        <f t="shared" si="43"/>
        <v>0</v>
      </c>
      <c r="P158" s="152"/>
      <c r="Q158" s="115">
        <f t="shared" si="44"/>
        <v>0</v>
      </c>
      <c r="R158" s="149"/>
      <c r="S158" s="113">
        <f t="shared" si="45"/>
        <v>0</v>
      </c>
    </row>
    <row r="159" spans="1:19" s="59" customFormat="1" ht="12.75">
      <c r="A159" s="127">
        <f t="shared" si="46"/>
        <v>4</v>
      </c>
      <c r="B159" s="128">
        <f>LOOKUP($A159,Quantities!$T191:$T206,Quantities!AE191:AE206)</f>
        <v>614</v>
      </c>
      <c r="C159" s="128">
        <f>LOOKUP($A159,Quantities!$T191:$T206,Quantities!AF191:AF206)</f>
        <v>1</v>
      </c>
      <c r="D159" s="128" t="str">
        <f>LOOKUP($A159,Quantities!$T191:$T206,Quantities!AG191:AG206)</f>
        <v>L.S.</v>
      </c>
      <c r="E159" s="128" t="str">
        <f>LOOKUP($A159,Quantities!$T191:$T206,Quantities!AR191:AR206)</f>
        <v>Maintaining Traffic</v>
      </c>
      <c r="F159" s="129">
        <f>LOOKUP($A159,Quantities!$T191:$T206,Quantities!AQ191:AQ206)</f>
        <v>3000</v>
      </c>
      <c r="G159" s="130">
        <f t="shared" si="39"/>
        <v>3000</v>
      </c>
      <c r="H159" s="152"/>
      <c r="I159" s="115">
        <f t="shared" si="40"/>
        <v>0</v>
      </c>
      <c r="J159" s="152"/>
      <c r="K159" s="115">
        <f t="shared" si="41"/>
        <v>0</v>
      </c>
      <c r="L159" s="152"/>
      <c r="M159" s="115">
        <f t="shared" si="42"/>
        <v>0</v>
      </c>
      <c r="N159" s="152"/>
      <c r="O159" s="115">
        <f t="shared" si="43"/>
        <v>0</v>
      </c>
      <c r="P159" s="152"/>
      <c r="Q159" s="115">
        <f t="shared" si="44"/>
        <v>0</v>
      </c>
      <c r="R159" s="149"/>
      <c r="S159" s="113">
        <f t="shared" si="45"/>
        <v>0</v>
      </c>
    </row>
    <row r="160" spans="1:19" s="58" customFormat="1" ht="12.75">
      <c r="A160" s="127">
        <f t="shared" si="46"/>
        <v>5</v>
      </c>
      <c r="B160" s="128">
        <f>LOOKUP($A160,Quantities!$T191:$T206,Quantities!AE191:AE206)</f>
        <v>624</v>
      </c>
      <c r="C160" s="128">
        <f>LOOKUP($A160,Quantities!$T191:$T206,Quantities!AF191:AF206)</f>
        <v>1</v>
      </c>
      <c r="D160" s="128" t="str">
        <f>LOOKUP($A160,Quantities!$T191:$T206,Quantities!AG191:AG206)</f>
        <v>L.S.</v>
      </c>
      <c r="E160" s="128" t="str">
        <f>LOOKUP($A160,Quantities!$T191:$T206,Quantities!AR191:AR206)</f>
        <v>Mobilization</v>
      </c>
      <c r="F160" s="129">
        <f>LOOKUP($A160,Quantities!$T191:$T206,Quantities!AQ191:AQ206)</f>
        <v>1500</v>
      </c>
      <c r="G160" s="130">
        <f t="shared" si="39"/>
        <v>1500</v>
      </c>
      <c r="H160" s="152"/>
      <c r="I160" s="115">
        <f t="shared" si="40"/>
        <v>0</v>
      </c>
      <c r="J160" s="152"/>
      <c r="K160" s="115">
        <f t="shared" si="41"/>
        <v>0</v>
      </c>
      <c r="L160" s="152"/>
      <c r="M160" s="115">
        <f t="shared" si="42"/>
        <v>0</v>
      </c>
      <c r="N160" s="152"/>
      <c r="O160" s="115">
        <f t="shared" si="43"/>
        <v>0</v>
      </c>
      <c r="P160" s="152"/>
      <c r="Q160" s="115">
        <f t="shared" si="44"/>
        <v>0</v>
      </c>
      <c r="R160" s="149"/>
      <c r="S160" s="113">
        <f t="shared" si="45"/>
        <v>0</v>
      </c>
    </row>
    <row r="161" spans="1:19" s="58" customFormat="1" ht="12.75">
      <c r="A161" s="127">
        <f t="shared" si="46"/>
        <v>6</v>
      </c>
      <c r="B161" s="128">
        <f>LOOKUP($A161,Quantities!$T191:$T206,Quantities!AE191:AE206)</f>
        <v>103.05</v>
      </c>
      <c r="C161" s="128">
        <f>LOOKUP($A161,Quantities!$T191:$T206,Quantities!AF191:AF206)</f>
        <v>1</v>
      </c>
      <c r="D161" s="128" t="str">
        <f>LOOKUP($A161,Quantities!$T191:$T206,Quantities!AG191:AG206)</f>
        <v>L.S.</v>
      </c>
      <c r="E161" s="128" t="str">
        <f>LOOKUP($A161,Quantities!$T191:$T206,Quantities!AR191:AR206)</f>
        <v>Contract Performance &amp; Payment Bond</v>
      </c>
      <c r="F161" s="129">
        <f>LOOKUP($A161,Quantities!$T191:$T206,Quantities!AQ191:AQ206)</f>
        <v>1507</v>
      </c>
      <c r="G161" s="130">
        <f t="shared" si="39"/>
        <v>1507</v>
      </c>
      <c r="H161" s="152"/>
      <c r="I161" s="115">
        <f t="shared" si="40"/>
        <v>0</v>
      </c>
      <c r="J161" s="152"/>
      <c r="K161" s="115">
        <f t="shared" si="41"/>
        <v>0</v>
      </c>
      <c r="L161" s="152"/>
      <c r="M161" s="115">
        <f t="shared" si="42"/>
        <v>0</v>
      </c>
      <c r="N161" s="152"/>
      <c r="O161" s="115">
        <f t="shared" si="43"/>
        <v>0</v>
      </c>
      <c r="P161" s="152"/>
      <c r="Q161" s="115">
        <f t="shared" si="44"/>
        <v>0</v>
      </c>
      <c r="R161" s="149"/>
      <c r="S161" s="113">
        <f t="shared" si="45"/>
        <v>0</v>
      </c>
    </row>
    <row r="162" spans="1:19" s="58" customFormat="1" ht="12.75">
      <c r="A162" s="127">
        <f t="shared" si="46"/>
        <v>7</v>
      </c>
      <c r="B162" s="128">
        <f>LOOKUP($A162,Quantities!$T191:$T206,Quantities!AE191:AE206)</f>
      </c>
      <c r="C162" s="128">
        <f>LOOKUP($A162,Quantities!$T191:$T206,Quantities!AF191:AF206)</f>
      </c>
      <c r="D162" s="128">
        <f>LOOKUP($A162,Quantities!$T191:$T206,Quantities!AG191:AG206)</f>
      </c>
      <c r="E162" s="128">
        <f>LOOKUP($A162,Quantities!$T191:$T206,Quantities!AR191:AR206)</f>
      </c>
      <c r="F162" s="129">
        <f>LOOKUP($A162,Quantities!$T191:$T206,Quantities!AQ191:AQ206)</f>
        <v>0</v>
      </c>
      <c r="G162" s="130">
        <f t="shared" si="39"/>
        <v>0</v>
      </c>
      <c r="H162" s="152"/>
      <c r="I162" s="115">
        <f t="shared" si="40"/>
        <v>0</v>
      </c>
      <c r="J162" s="152"/>
      <c r="K162" s="115">
        <f t="shared" si="41"/>
        <v>0</v>
      </c>
      <c r="L162" s="152"/>
      <c r="M162" s="115">
        <f t="shared" si="42"/>
        <v>0</v>
      </c>
      <c r="N162" s="152"/>
      <c r="O162" s="115">
        <f t="shared" si="43"/>
        <v>0</v>
      </c>
      <c r="P162" s="152"/>
      <c r="Q162" s="115">
        <f t="shared" si="44"/>
        <v>0</v>
      </c>
      <c r="R162" s="149"/>
      <c r="S162" s="113">
        <f t="shared" si="45"/>
        <v>0</v>
      </c>
    </row>
    <row r="163" spans="1:19" s="58" customFormat="1" ht="12.75">
      <c r="A163" s="127">
        <f t="shared" si="46"/>
        <v>8</v>
      </c>
      <c r="B163" s="128">
        <f>LOOKUP($A163,Quantities!$T191:$T206,Quantities!AE191:AE206)</f>
      </c>
      <c r="C163" s="128">
        <f>LOOKUP($A163,Quantities!$T191:$T206,Quantities!AF191:AF206)</f>
      </c>
      <c r="D163" s="128">
        <f>LOOKUP($A163,Quantities!$T191:$T206,Quantities!AG191:AG206)</f>
      </c>
      <c r="E163" s="128">
        <f>LOOKUP($A163,Quantities!$T191:$T206,Quantities!AR191:AR206)</f>
      </c>
      <c r="F163" s="129">
        <f>LOOKUP($A163,Quantities!$T191:$T206,Quantities!AQ191:AQ206)</f>
        <v>0</v>
      </c>
      <c r="G163" s="130">
        <f t="shared" si="39"/>
        <v>0</v>
      </c>
      <c r="H163" s="152"/>
      <c r="I163" s="115">
        <f t="shared" si="40"/>
        <v>0</v>
      </c>
      <c r="J163" s="152"/>
      <c r="K163" s="115">
        <f t="shared" si="41"/>
        <v>0</v>
      </c>
      <c r="L163" s="152"/>
      <c r="M163" s="115">
        <f t="shared" si="42"/>
        <v>0</v>
      </c>
      <c r="N163" s="152"/>
      <c r="O163" s="115">
        <f t="shared" si="43"/>
        <v>0</v>
      </c>
      <c r="P163" s="152"/>
      <c r="Q163" s="115">
        <f t="shared" si="44"/>
        <v>0</v>
      </c>
      <c r="R163" s="149"/>
      <c r="S163" s="113">
        <f t="shared" si="45"/>
        <v>0</v>
      </c>
    </row>
    <row r="164" spans="1:19" s="58" customFormat="1" ht="12.75">
      <c r="A164" s="127">
        <f t="shared" si="46"/>
        <v>9</v>
      </c>
      <c r="B164" s="128">
        <f>LOOKUP($A164,Quantities!$T191:$T206,Quantities!AE191:AE206)</f>
      </c>
      <c r="C164" s="128">
        <f>LOOKUP($A164,Quantities!$T191:$T206,Quantities!AF191:AF206)</f>
      </c>
      <c r="D164" s="128">
        <f>LOOKUP($A164,Quantities!$T191:$T206,Quantities!AG191:AG206)</f>
      </c>
      <c r="E164" s="128">
        <f>LOOKUP($A164,Quantities!$T191:$T206,Quantities!AR191:AR206)</f>
      </c>
      <c r="F164" s="129">
        <f>LOOKUP($A164,Quantities!$T191:$T206,Quantities!AQ191:AQ206)</f>
        <v>0</v>
      </c>
      <c r="G164" s="130">
        <f t="shared" si="39"/>
        <v>0</v>
      </c>
      <c r="H164" s="152"/>
      <c r="I164" s="115">
        <f t="shared" si="40"/>
        <v>0</v>
      </c>
      <c r="J164" s="152"/>
      <c r="K164" s="115">
        <f t="shared" si="41"/>
        <v>0</v>
      </c>
      <c r="L164" s="152"/>
      <c r="M164" s="115">
        <f t="shared" si="42"/>
        <v>0</v>
      </c>
      <c r="N164" s="152"/>
      <c r="O164" s="115">
        <f t="shared" si="43"/>
        <v>0</v>
      </c>
      <c r="P164" s="152"/>
      <c r="Q164" s="115">
        <f t="shared" si="44"/>
        <v>0</v>
      </c>
      <c r="R164" s="149"/>
      <c r="S164" s="113">
        <f t="shared" si="45"/>
        <v>0</v>
      </c>
    </row>
    <row r="165" spans="1:19" s="58" customFormat="1" ht="12.75">
      <c r="A165" s="127">
        <f t="shared" si="46"/>
        <v>10</v>
      </c>
      <c r="B165" s="128">
        <f>LOOKUP($A165,Quantities!$T191:$T206,Quantities!AE191:AE206)</f>
      </c>
      <c r="C165" s="128">
        <f>LOOKUP($A165,Quantities!$T191:$T206,Quantities!AF191:AF206)</f>
      </c>
      <c r="D165" s="128">
        <f>LOOKUP($A165,Quantities!$T191:$T206,Quantities!AG191:AG206)</f>
      </c>
      <c r="E165" s="128">
        <f>LOOKUP($A165,Quantities!$T191:$T206,Quantities!AR191:AR206)</f>
      </c>
      <c r="F165" s="129">
        <f>LOOKUP($A165,Quantities!$T191:$T206,Quantities!AQ191:AQ206)</f>
        <v>0</v>
      </c>
      <c r="G165" s="130">
        <f t="shared" si="39"/>
        <v>0</v>
      </c>
      <c r="H165" s="152"/>
      <c r="I165" s="115">
        <f t="shared" si="40"/>
        <v>0</v>
      </c>
      <c r="J165" s="152"/>
      <c r="K165" s="115">
        <f t="shared" si="41"/>
        <v>0</v>
      </c>
      <c r="L165" s="152"/>
      <c r="M165" s="115">
        <f t="shared" si="42"/>
        <v>0</v>
      </c>
      <c r="N165" s="152"/>
      <c r="O165" s="115">
        <f t="shared" si="43"/>
        <v>0</v>
      </c>
      <c r="P165" s="152"/>
      <c r="Q165" s="115">
        <f t="shared" si="44"/>
        <v>0</v>
      </c>
      <c r="R165" s="149"/>
      <c r="S165" s="113">
        <f t="shared" si="45"/>
        <v>0</v>
      </c>
    </row>
    <row r="166" spans="1:19" s="58" customFormat="1" ht="12.75">
      <c r="A166" s="127">
        <f t="shared" si="46"/>
        <v>11</v>
      </c>
      <c r="B166" s="128">
        <f>LOOKUP($A166,Quantities!$T191:$T206,Quantities!AE191:AE206)</f>
      </c>
      <c r="C166" s="128">
        <f>LOOKUP($A166,Quantities!$T191:$T206,Quantities!AF191:AF206)</f>
      </c>
      <c r="D166" s="128">
        <f>LOOKUP($A166,Quantities!$T191:$T206,Quantities!AG191:AG206)</f>
      </c>
      <c r="E166" s="128">
        <f>LOOKUP($A166,Quantities!$T191:$T206,Quantities!AR191:AR206)</f>
      </c>
      <c r="F166" s="129">
        <f>LOOKUP($A166,Quantities!$T191:$T206,Quantities!AQ191:AQ206)</f>
        <v>0</v>
      </c>
      <c r="G166" s="130">
        <f t="shared" si="39"/>
        <v>0</v>
      </c>
      <c r="H166" s="152"/>
      <c r="I166" s="115">
        <f t="shared" si="40"/>
        <v>0</v>
      </c>
      <c r="J166" s="152"/>
      <c r="K166" s="115">
        <f t="shared" si="41"/>
        <v>0</v>
      </c>
      <c r="L166" s="152"/>
      <c r="M166" s="115">
        <f t="shared" si="42"/>
        <v>0</v>
      </c>
      <c r="N166" s="152"/>
      <c r="O166" s="115">
        <f t="shared" si="43"/>
        <v>0</v>
      </c>
      <c r="P166" s="152"/>
      <c r="Q166" s="115">
        <f t="shared" si="44"/>
        <v>0</v>
      </c>
      <c r="R166" s="149"/>
      <c r="S166" s="113">
        <f t="shared" si="45"/>
        <v>0</v>
      </c>
    </row>
    <row r="167" spans="1:19" s="58" customFormat="1" ht="12.75">
      <c r="A167" s="127">
        <f t="shared" si="46"/>
        <v>12</v>
      </c>
      <c r="B167" s="128">
        <f>LOOKUP($A167,Quantities!$T191:$T206,Quantities!AE191:AE206)</f>
      </c>
      <c r="C167" s="128">
        <f>LOOKUP($A167,Quantities!$T191:$T206,Quantities!AF191:AF206)</f>
      </c>
      <c r="D167" s="128">
        <f>LOOKUP($A167,Quantities!$T191:$T206,Quantities!AG191:AG206)</f>
      </c>
      <c r="E167" s="128">
        <f>LOOKUP($A167,Quantities!$T191:$T206,Quantities!AR191:AR206)</f>
      </c>
      <c r="F167" s="129">
        <f>LOOKUP($A167,Quantities!$T191:$T206,Quantities!AQ191:AQ206)</f>
        <v>0</v>
      </c>
      <c r="G167" s="130">
        <f t="shared" si="39"/>
        <v>0</v>
      </c>
      <c r="H167" s="152"/>
      <c r="I167" s="115">
        <f t="shared" si="40"/>
        <v>0</v>
      </c>
      <c r="J167" s="152"/>
      <c r="K167" s="115">
        <f t="shared" si="41"/>
        <v>0</v>
      </c>
      <c r="L167" s="152"/>
      <c r="M167" s="115">
        <f t="shared" si="42"/>
        <v>0</v>
      </c>
      <c r="N167" s="152"/>
      <c r="O167" s="115">
        <f t="shared" si="43"/>
        <v>0</v>
      </c>
      <c r="P167" s="152"/>
      <c r="Q167" s="115">
        <f t="shared" si="44"/>
        <v>0</v>
      </c>
      <c r="R167" s="149"/>
      <c r="S167" s="113">
        <f t="shared" si="45"/>
        <v>0</v>
      </c>
    </row>
    <row r="168" spans="1:19" s="58" customFormat="1" ht="12.75">
      <c r="A168" s="127">
        <f t="shared" si="46"/>
        <v>13</v>
      </c>
      <c r="B168" s="128">
        <f>LOOKUP($A168,Quantities!$T191:$T206,Quantities!AE191:AE206)</f>
      </c>
      <c r="C168" s="128">
        <f>LOOKUP($A168,Quantities!$T191:$T206,Quantities!AF191:AF206)</f>
      </c>
      <c r="D168" s="128">
        <f>LOOKUP($A168,Quantities!$T191:$T206,Quantities!AG191:AG206)</f>
      </c>
      <c r="E168" s="128">
        <f>LOOKUP($A168,Quantities!$T191:$T206,Quantities!AR191:AR206)</f>
      </c>
      <c r="F168" s="129">
        <f>LOOKUP($A168,Quantities!$T191:$T206,Quantities!AQ191:AQ206)</f>
        <v>0</v>
      </c>
      <c r="G168" s="130">
        <f t="shared" si="39"/>
        <v>0</v>
      </c>
      <c r="H168" s="152"/>
      <c r="I168" s="115">
        <f t="shared" si="40"/>
        <v>0</v>
      </c>
      <c r="J168" s="152"/>
      <c r="K168" s="115">
        <f t="shared" si="41"/>
        <v>0</v>
      </c>
      <c r="L168" s="152"/>
      <c r="M168" s="115">
        <f t="shared" si="42"/>
        <v>0</v>
      </c>
      <c r="N168" s="152"/>
      <c r="O168" s="115">
        <f t="shared" si="43"/>
        <v>0</v>
      </c>
      <c r="P168" s="152"/>
      <c r="Q168" s="115">
        <f t="shared" si="44"/>
        <v>0</v>
      </c>
      <c r="R168" s="149"/>
      <c r="S168" s="113">
        <f t="shared" si="45"/>
        <v>0</v>
      </c>
    </row>
    <row r="169" spans="1:19" s="58" customFormat="1" ht="12.75">
      <c r="A169" s="127">
        <f t="shared" si="46"/>
        <v>14</v>
      </c>
      <c r="B169" s="128">
        <f>LOOKUP($A169,Quantities!$T191:$T206,Quantities!AE191:AE206)</f>
      </c>
      <c r="C169" s="128">
        <f>LOOKUP($A169,Quantities!$T191:$T206,Quantities!AF191:AF206)</f>
      </c>
      <c r="D169" s="128">
        <f>LOOKUP($A169,Quantities!$T191:$T206,Quantities!AG191:AG206)</f>
      </c>
      <c r="E169" s="128">
        <f>LOOKUP($A169,Quantities!$T191:$T206,Quantities!AR191:AR206)</f>
      </c>
      <c r="F169" s="129">
        <f>LOOKUP($A169,Quantities!$T191:$T206,Quantities!AQ191:AQ206)</f>
        <v>0</v>
      </c>
      <c r="G169" s="130">
        <f t="shared" si="39"/>
        <v>0</v>
      </c>
      <c r="H169" s="152"/>
      <c r="I169" s="115">
        <f t="shared" si="40"/>
        <v>0</v>
      </c>
      <c r="J169" s="152"/>
      <c r="K169" s="115">
        <f t="shared" si="41"/>
        <v>0</v>
      </c>
      <c r="L169" s="152"/>
      <c r="M169" s="115">
        <f t="shared" si="42"/>
        <v>0</v>
      </c>
      <c r="N169" s="152"/>
      <c r="O169" s="115">
        <f t="shared" si="43"/>
        <v>0</v>
      </c>
      <c r="P169" s="152"/>
      <c r="Q169" s="115">
        <f t="shared" si="44"/>
        <v>0</v>
      </c>
      <c r="R169" s="149"/>
      <c r="S169" s="113">
        <f t="shared" si="45"/>
        <v>0</v>
      </c>
    </row>
    <row r="170" spans="1:19" s="59" customFormat="1" ht="12.75">
      <c r="A170" s="127">
        <f t="shared" si="46"/>
        <v>15</v>
      </c>
      <c r="B170" s="128">
        <f>LOOKUP($A170,Quantities!$T191:$T206,Quantities!AE191:AE206)</f>
      </c>
      <c r="C170" s="128">
        <f>LOOKUP($A170,Quantities!$T191:$T206,Quantities!AF191:AF206)</f>
      </c>
      <c r="D170" s="128">
        <f>LOOKUP($A170,Quantities!$T191:$T206,Quantities!AG191:AG206)</f>
      </c>
      <c r="E170" s="128">
        <f>LOOKUP($A170,Quantities!$T191:$T206,Quantities!AR191:AR206)</f>
      </c>
      <c r="F170" s="129">
        <f>LOOKUP($A170,Quantities!$T191:$T206,Quantities!AQ191:AQ206)</f>
        <v>0</v>
      </c>
      <c r="G170" s="130">
        <f t="shared" si="39"/>
        <v>0</v>
      </c>
      <c r="H170" s="152"/>
      <c r="I170" s="115">
        <f t="shared" si="40"/>
        <v>0</v>
      </c>
      <c r="J170" s="152"/>
      <c r="K170" s="115">
        <f t="shared" si="41"/>
        <v>0</v>
      </c>
      <c r="L170" s="152"/>
      <c r="M170" s="115">
        <f t="shared" si="42"/>
        <v>0</v>
      </c>
      <c r="N170" s="152"/>
      <c r="O170" s="115">
        <f t="shared" si="43"/>
        <v>0</v>
      </c>
      <c r="P170" s="152"/>
      <c r="Q170" s="115">
        <f t="shared" si="44"/>
        <v>0</v>
      </c>
      <c r="R170" s="149"/>
      <c r="S170" s="113">
        <f t="shared" si="45"/>
        <v>0</v>
      </c>
    </row>
    <row r="171" spans="1:19" s="59" customFormat="1" ht="12.75">
      <c r="A171" s="127">
        <f t="shared" si="46"/>
        <v>16</v>
      </c>
      <c r="B171" s="128">
        <f>LOOKUP($A171,Quantities!$T191:$T206,Quantities!AE191:AE206)</f>
      </c>
      <c r="C171" s="128">
        <f>LOOKUP($A171,Quantities!$T191:$T206,Quantities!AF191:AF206)</f>
      </c>
      <c r="D171" s="128">
        <f>LOOKUP($A171,Quantities!$T191:$T206,Quantities!AG191:AG206)</f>
      </c>
      <c r="E171" s="128">
        <f>LOOKUP($A171,Quantities!$T191:$T206,Quantities!AR191:AR206)</f>
      </c>
      <c r="F171" s="129">
        <f>LOOKUP($A171,Quantities!$T191:$T206,Quantities!AQ191:AQ206)</f>
        <v>0</v>
      </c>
      <c r="G171" s="130">
        <f t="shared" si="39"/>
        <v>0</v>
      </c>
      <c r="H171" s="152"/>
      <c r="I171" s="115">
        <f t="shared" si="40"/>
        <v>0</v>
      </c>
      <c r="J171" s="152"/>
      <c r="K171" s="115">
        <f t="shared" si="41"/>
        <v>0</v>
      </c>
      <c r="L171" s="152"/>
      <c r="M171" s="115">
        <f t="shared" si="42"/>
        <v>0</v>
      </c>
      <c r="N171" s="152"/>
      <c r="O171" s="115">
        <f t="shared" si="43"/>
        <v>0</v>
      </c>
      <c r="P171" s="152"/>
      <c r="Q171" s="115">
        <f t="shared" si="44"/>
        <v>0</v>
      </c>
      <c r="R171" s="149"/>
      <c r="S171" s="113">
        <f t="shared" si="45"/>
        <v>0</v>
      </c>
    </row>
    <row r="172" spans="1:19" ht="13.5" thickBot="1">
      <c r="A172" s="131"/>
      <c r="B172" s="132"/>
      <c r="C172" s="132"/>
      <c r="D172" s="132"/>
      <c r="E172" s="133" t="s">
        <v>129</v>
      </c>
      <c r="F172" s="134"/>
      <c r="G172" s="135">
        <f>SUM(G156:G171)</f>
        <v>368710</v>
      </c>
      <c r="H172" s="153"/>
      <c r="I172" s="116">
        <f>SUM(I156:I171)</f>
        <v>0</v>
      </c>
      <c r="J172" s="153"/>
      <c r="K172" s="116">
        <f>SUM(K156:K171)</f>
        <v>0</v>
      </c>
      <c r="L172" s="153"/>
      <c r="M172" s="116">
        <f>SUM(M156:M171)</f>
        <v>0</v>
      </c>
      <c r="N172" s="153"/>
      <c r="O172" s="116">
        <f>SUM(O156:O171)</f>
        <v>0</v>
      </c>
      <c r="P172" s="153"/>
      <c r="Q172" s="116">
        <f>SUM(Q156:Q171)</f>
        <v>0</v>
      </c>
      <c r="R172" s="150"/>
      <c r="S172" s="114">
        <f>SUM(S156:S171)</f>
        <v>0</v>
      </c>
    </row>
    <row r="173" ht="11.25" customHeight="1"/>
    <row r="174" spans="1:7" s="44" customFormat="1" ht="12.75">
      <c r="A174" s="43" t="str">
        <f>Quantities!C221</f>
        <v>Road J b/ Road 15- Road 16</v>
      </c>
      <c r="F174" s="45"/>
      <c r="G174" s="45"/>
    </row>
    <row r="175" spans="1:7" s="38" customFormat="1" ht="12.75">
      <c r="A175" s="44" t="str">
        <f>Quantities!AB239</f>
        <v>Length:  5400 Feet or 1.02 Mile(s)</v>
      </c>
      <c r="B175" s="46"/>
      <c r="C175" s="44"/>
      <c r="D175" s="47"/>
      <c r="F175" s="48"/>
      <c r="G175" s="48"/>
    </row>
    <row r="176" spans="1:7" s="38" customFormat="1" ht="12.75">
      <c r="A176" s="44" t="str">
        <f>Quantities!AB240</f>
        <v>Width:  16 Feet     (Approx. 9705 S.Y. including radius and driveway work)</v>
      </c>
      <c r="B176" s="44"/>
      <c r="C176" s="46"/>
      <c r="D176" s="49"/>
      <c r="F176" s="48"/>
      <c r="G176" s="48"/>
    </row>
    <row r="177" spans="1:7" s="38" customFormat="1" ht="13.5" thickBot="1">
      <c r="A177" s="44" t="str">
        <f>Quantities!AB241</f>
        <v>Type: ODOT Spec 823, with Spec 301 Widening </v>
      </c>
      <c r="B177" s="50"/>
      <c r="C177" s="50"/>
      <c r="D177" s="50"/>
      <c r="F177" s="48"/>
      <c r="G177" s="48"/>
    </row>
    <row r="178" spans="1:19" s="38" customFormat="1" ht="12.75">
      <c r="A178" s="136"/>
      <c r="B178" s="137"/>
      <c r="C178" s="138"/>
      <c r="D178" s="138"/>
      <c r="E178" s="139"/>
      <c r="F178" s="177" t="s">
        <v>150</v>
      </c>
      <c r="G178" s="178"/>
      <c r="H178" s="180" t="s">
        <v>151</v>
      </c>
      <c r="I178" s="181"/>
      <c r="J178" s="179" t="s">
        <v>152</v>
      </c>
      <c r="K178" s="179"/>
      <c r="L178" s="179" t="s">
        <v>153</v>
      </c>
      <c r="M178" s="179"/>
      <c r="N178" s="179" t="s">
        <v>154</v>
      </c>
      <c r="O178" s="179"/>
      <c r="P178" s="179" t="s">
        <v>155</v>
      </c>
      <c r="Q178" s="181"/>
      <c r="R178" s="182" t="s">
        <v>156</v>
      </c>
      <c r="S178" s="183"/>
    </row>
    <row r="179" spans="1:19" s="38" customFormat="1" ht="13.5" thickBot="1">
      <c r="A179" s="140" t="s">
        <v>1</v>
      </c>
      <c r="B179" s="141" t="s">
        <v>2</v>
      </c>
      <c r="C179" s="141" t="s">
        <v>36</v>
      </c>
      <c r="D179" s="141" t="s">
        <v>3</v>
      </c>
      <c r="E179" s="142" t="s">
        <v>4</v>
      </c>
      <c r="F179" s="143" t="s">
        <v>5</v>
      </c>
      <c r="G179" s="144" t="s">
        <v>6</v>
      </c>
      <c r="H179" s="119" t="s">
        <v>5</v>
      </c>
      <c r="I179" s="120" t="s">
        <v>6</v>
      </c>
      <c r="J179" s="119" t="s">
        <v>5</v>
      </c>
      <c r="K179" s="120" t="s">
        <v>6</v>
      </c>
      <c r="L179" s="119" t="s">
        <v>5</v>
      </c>
      <c r="M179" s="120" t="s">
        <v>6</v>
      </c>
      <c r="N179" s="119" t="s">
        <v>5</v>
      </c>
      <c r="O179" s="120" t="s">
        <v>6</v>
      </c>
      <c r="P179" s="119" t="s">
        <v>5</v>
      </c>
      <c r="Q179" s="120" t="s">
        <v>6</v>
      </c>
      <c r="R179" s="121" t="s">
        <v>5</v>
      </c>
      <c r="S179" s="122" t="s">
        <v>6</v>
      </c>
    </row>
    <row r="180" spans="1:19" s="58" customFormat="1" ht="13.5" thickTop="1">
      <c r="A180" s="123">
        <f>A156</f>
        <v>1</v>
      </c>
      <c r="B180" s="124">
        <f>LOOKUP($A180,Quantities!$T222:$T237,Quantities!AE222:AE237)</f>
        <v>202</v>
      </c>
      <c r="C180" s="124">
        <f>LOOKUP($A180,Quantities!$T222:$T237,Quantities!AF222:AF237)</f>
        <v>6</v>
      </c>
      <c r="D180" s="124" t="str">
        <f>LOOKUP($A180,Quantities!$T222:$T237,Quantities!AG222:AG237)</f>
        <v>EA</v>
      </c>
      <c r="E180" s="124" t="str">
        <f>LOOKUP($A180,Quantities!$T222:$T237,Quantities!AR222:AR237)</f>
        <v>Remove &amp; Relocate Mailbox/Paperbox</v>
      </c>
      <c r="F180" s="125">
        <f>LOOKUP($A180,Quantities!$T222:$T237,Quantities!AQ222:AQ237)</f>
        <v>250</v>
      </c>
      <c r="G180" s="126">
        <f aca="true" t="shared" si="47" ref="G180:G195">IF(C180="",0,F180*C180)</f>
        <v>1500</v>
      </c>
      <c r="H180" s="151"/>
      <c r="I180" s="117">
        <f aca="true" t="shared" si="48" ref="I180:I195">IF($C180="",0,H180*$C180)</f>
        <v>0</v>
      </c>
      <c r="J180" s="151"/>
      <c r="K180" s="117">
        <f aca="true" t="shared" si="49" ref="K180:K195">IF($C180="",0,J180*$C180)</f>
        <v>0</v>
      </c>
      <c r="L180" s="151"/>
      <c r="M180" s="117">
        <f aca="true" t="shared" si="50" ref="M180:M195">IF($C180="",0,L180*$C180)</f>
        <v>0</v>
      </c>
      <c r="N180" s="151"/>
      <c r="O180" s="117">
        <f aca="true" t="shared" si="51" ref="O180:O195">IF($C180="",0,N180*$C180)</f>
        <v>0</v>
      </c>
      <c r="P180" s="151"/>
      <c r="Q180" s="117">
        <f aca="true" t="shared" si="52" ref="Q180:Q195">IF($C180="",0,P180*$C180)</f>
        <v>0</v>
      </c>
      <c r="R180" s="148"/>
      <c r="S180" s="118">
        <f aca="true" t="shared" si="53" ref="S180:S195">IF($C180="",0,R180*$C180)</f>
        <v>0</v>
      </c>
    </row>
    <row r="181" spans="1:19" s="58" customFormat="1" ht="25.5">
      <c r="A181" s="127">
        <f aca="true" t="shared" si="54" ref="A181:A195">A180+1</f>
        <v>2</v>
      </c>
      <c r="B181" s="128">
        <f>LOOKUP($A181,Quantities!$T222:$T237,Quantities!AE222:AE237)</f>
        <v>203</v>
      </c>
      <c r="C181" s="128">
        <f>LOOKUP($A181,Quantities!$T222:$T237,Quantities!AF222:AF237)</f>
        <v>333</v>
      </c>
      <c r="D181" s="128" t="str">
        <f>LOOKUP($A181,Quantities!$T222:$T237,Quantities!AG222:AG237)</f>
        <v>CY</v>
      </c>
      <c r="E181" s="128" t="str">
        <f>LOOKUP($A181,Quantities!$T222:$T237,Quantities!AR222:AR237)</f>
        <v>Excavation (4' Widening , 2 Feet Each Side and Mailbox Turnout)</v>
      </c>
      <c r="F181" s="129">
        <f>LOOKUP($A181,Quantities!$T222:$T237,Quantities!AQ222:AQ237)</f>
        <v>43</v>
      </c>
      <c r="G181" s="130">
        <f t="shared" si="47"/>
        <v>14319</v>
      </c>
      <c r="H181" s="152"/>
      <c r="I181" s="115">
        <f t="shared" si="48"/>
        <v>0</v>
      </c>
      <c r="J181" s="152"/>
      <c r="K181" s="115">
        <f t="shared" si="49"/>
        <v>0</v>
      </c>
      <c r="L181" s="152"/>
      <c r="M181" s="115">
        <f t="shared" si="50"/>
        <v>0</v>
      </c>
      <c r="N181" s="152"/>
      <c r="O181" s="115">
        <f t="shared" si="51"/>
        <v>0</v>
      </c>
      <c r="P181" s="152"/>
      <c r="Q181" s="115">
        <f t="shared" si="52"/>
        <v>0</v>
      </c>
      <c r="R181" s="149"/>
      <c r="S181" s="113">
        <f t="shared" si="53"/>
        <v>0</v>
      </c>
    </row>
    <row r="182" spans="1:19" s="58" customFormat="1" ht="12.75">
      <c r="A182" s="127">
        <f t="shared" si="54"/>
        <v>3</v>
      </c>
      <c r="B182" s="128">
        <f>LOOKUP($A182,Quantities!$T222:$T237,Quantities!AE222:AE237)</f>
        <v>204</v>
      </c>
      <c r="C182" s="128">
        <f>LOOKUP($A182,Quantities!$T222:$T237,Quantities!AF222:AF237)</f>
        <v>2400</v>
      </c>
      <c r="D182" s="128" t="str">
        <f>LOOKUP($A182,Quantities!$T222:$T237,Quantities!AG222:AG237)</f>
        <v>SY</v>
      </c>
      <c r="E182" s="128" t="str">
        <f>LOOKUP($A182,Quantities!$T222:$T237,Quantities!AR222:AR237)</f>
        <v>Subgrade Compaction</v>
      </c>
      <c r="F182" s="129">
        <f>LOOKUP($A182,Quantities!$T222:$T237,Quantities!AQ222:AQ237)</f>
        <v>1</v>
      </c>
      <c r="G182" s="130">
        <f t="shared" si="47"/>
        <v>2400</v>
      </c>
      <c r="H182" s="152"/>
      <c r="I182" s="115">
        <f t="shared" si="48"/>
        <v>0</v>
      </c>
      <c r="J182" s="152"/>
      <c r="K182" s="115">
        <f t="shared" si="49"/>
        <v>0</v>
      </c>
      <c r="L182" s="152"/>
      <c r="M182" s="115">
        <f t="shared" si="50"/>
        <v>0</v>
      </c>
      <c r="N182" s="152"/>
      <c r="O182" s="115">
        <f t="shared" si="51"/>
        <v>0</v>
      </c>
      <c r="P182" s="152"/>
      <c r="Q182" s="115">
        <f t="shared" si="52"/>
        <v>0</v>
      </c>
      <c r="R182" s="149"/>
      <c r="S182" s="113">
        <f t="shared" si="53"/>
        <v>0</v>
      </c>
    </row>
    <row r="183" spans="1:19" s="59" customFormat="1" ht="25.5">
      <c r="A183" s="127">
        <f t="shared" si="54"/>
        <v>4</v>
      </c>
      <c r="B183" s="128">
        <f>LOOKUP($A183,Quantities!$T222:$T237,Quantities!AE222:AE237)</f>
        <v>301</v>
      </c>
      <c r="C183" s="128">
        <f>LOOKUP($A183,Quantities!$T222:$T237,Quantities!AF222:AF237)</f>
        <v>333</v>
      </c>
      <c r="D183" s="128" t="str">
        <f>LOOKUP($A183,Quantities!$T222:$T237,Quantities!AG222:AG237)</f>
        <v>CY</v>
      </c>
      <c r="E183" s="128" t="str">
        <f>LOOKUP($A183,Quantities!$T222:$T237,Quantities!AR222:AR237)</f>
        <v>Bituminous Aggregate Base, (5" average compacted depth, includes 407 tack coat on vertical face)</v>
      </c>
      <c r="F183" s="129">
        <f>LOOKUP($A183,Quantities!$T222:$T237,Quantities!AQ222:AQ237)</f>
        <v>185</v>
      </c>
      <c r="G183" s="130">
        <f t="shared" si="47"/>
        <v>61605</v>
      </c>
      <c r="H183" s="152"/>
      <c r="I183" s="115">
        <f t="shared" si="48"/>
        <v>0</v>
      </c>
      <c r="J183" s="152"/>
      <c r="K183" s="115">
        <f t="shared" si="49"/>
        <v>0</v>
      </c>
      <c r="L183" s="152"/>
      <c r="M183" s="115">
        <f t="shared" si="50"/>
        <v>0</v>
      </c>
      <c r="N183" s="152"/>
      <c r="O183" s="115">
        <f t="shared" si="51"/>
        <v>0</v>
      </c>
      <c r="P183" s="152"/>
      <c r="Q183" s="115">
        <f t="shared" si="52"/>
        <v>0</v>
      </c>
      <c r="R183" s="149"/>
      <c r="S183" s="113">
        <f t="shared" si="53"/>
        <v>0</v>
      </c>
    </row>
    <row r="184" spans="1:19" s="58" customFormat="1" ht="12.75">
      <c r="A184" s="127">
        <f t="shared" si="54"/>
        <v>5</v>
      </c>
      <c r="B184" s="128">
        <f>LOOKUP($A184,Quantities!$T222:$T237,Quantities!AE222:AE237)</f>
        <v>407</v>
      </c>
      <c r="C184" s="128">
        <f>LOOKUP($A184,Quantities!$T222:$T237,Quantities!AF222:AF237)</f>
        <v>485</v>
      </c>
      <c r="D184" s="128" t="str">
        <f>LOOKUP($A184,Quantities!$T222:$T237,Quantities!AG222:AG237)</f>
        <v>Gal</v>
      </c>
      <c r="E184" s="128" t="str">
        <f>LOOKUP($A184,Quantities!$T222:$T237,Quantities!AR222:AR237)</f>
        <v>Bituminous Tack Coat applied at 0.05 gallons per square yard</v>
      </c>
      <c r="F184" s="129">
        <f>LOOKUP($A184,Quantities!$T222:$T237,Quantities!AQ222:AQ237)</f>
        <v>2.1</v>
      </c>
      <c r="G184" s="130">
        <f t="shared" si="47"/>
        <v>1018.5</v>
      </c>
      <c r="H184" s="152"/>
      <c r="I184" s="115">
        <f t="shared" si="48"/>
        <v>0</v>
      </c>
      <c r="J184" s="152"/>
      <c r="K184" s="115">
        <f t="shared" si="49"/>
        <v>0</v>
      </c>
      <c r="L184" s="152"/>
      <c r="M184" s="115">
        <f t="shared" si="50"/>
        <v>0</v>
      </c>
      <c r="N184" s="152"/>
      <c r="O184" s="115">
        <f t="shared" si="51"/>
        <v>0</v>
      </c>
      <c r="P184" s="152"/>
      <c r="Q184" s="115">
        <f t="shared" si="52"/>
        <v>0</v>
      </c>
      <c r="R184" s="149"/>
      <c r="S184" s="113">
        <f t="shared" si="53"/>
        <v>0</v>
      </c>
    </row>
    <row r="185" spans="1:19" s="58" customFormat="1" ht="38.25">
      <c r="A185" s="127">
        <f t="shared" si="54"/>
        <v>6</v>
      </c>
      <c r="B185" s="128">
        <f>LOOKUP($A185,Quantities!$T222:$T237,Quantities!AE222:AE237)</f>
        <v>441</v>
      </c>
      <c r="C185" s="128">
        <f>LOOKUP($A185,Quantities!$T222:$T237,Quantities!AF222:AF237)</f>
        <v>404</v>
      </c>
      <c r="D185" s="128" t="str">
        <f>LOOKUP($A185,Quantities!$T222:$T237,Quantities!AG222:AG237)</f>
        <v>C.Y.</v>
      </c>
      <c r="E185" s="128" t="str">
        <f>LOOKUP($A185,Quantities!$T222:$T237,Quantities!AR222:AR237)</f>
        <v>Asphalt concrete surface course PG 64-22, Type 1 (823) applied, spread and compacted at the average depth of 1.5 inches</v>
      </c>
      <c r="F185" s="129">
        <f>LOOKUP($A185,Quantities!$T222:$T237,Quantities!AQ222:AQ237)</f>
        <v>185</v>
      </c>
      <c r="G185" s="130">
        <f t="shared" si="47"/>
        <v>74740</v>
      </c>
      <c r="H185" s="152"/>
      <c r="I185" s="115">
        <f t="shared" si="48"/>
        <v>0</v>
      </c>
      <c r="J185" s="152"/>
      <c r="K185" s="115">
        <f t="shared" si="49"/>
        <v>0</v>
      </c>
      <c r="L185" s="152"/>
      <c r="M185" s="115">
        <f t="shared" si="50"/>
        <v>0</v>
      </c>
      <c r="N185" s="152"/>
      <c r="O185" s="115">
        <f t="shared" si="51"/>
        <v>0</v>
      </c>
      <c r="P185" s="152"/>
      <c r="Q185" s="115">
        <f t="shared" si="52"/>
        <v>0</v>
      </c>
      <c r="R185" s="149"/>
      <c r="S185" s="113">
        <f t="shared" si="53"/>
        <v>0</v>
      </c>
    </row>
    <row r="186" spans="1:19" s="58" customFormat="1" ht="12.75">
      <c r="A186" s="127">
        <f t="shared" si="54"/>
        <v>7</v>
      </c>
      <c r="B186" s="128">
        <f>LOOKUP($A186,Quantities!$T222:$T237,Quantities!AE222:AE237)</f>
        <v>254</v>
      </c>
      <c r="C186" s="128">
        <f>LOOKUP($A186,Quantities!$T222:$T237,Quantities!AF222:AF237)</f>
        <v>550</v>
      </c>
      <c r="D186" s="128" t="str">
        <f>LOOKUP($A186,Quantities!$T222:$T237,Quantities!AG222:AG237)</f>
        <v>S.Y.</v>
      </c>
      <c r="E186" s="128" t="str">
        <f>LOOKUP($A186,Quantities!$T222:$T237,Quantities!AR222:AR237)</f>
        <v>Pavement Planing ( 20' including radius)</v>
      </c>
      <c r="F186" s="129">
        <f>LOOKUP($A186,Quantities!$T222:$T237,Quantities!AQ222:AQ237)</f>
        <v>12</v>
      </c>
      <c r="G186" s="130">
        <f t="shared" si="47"/>
        <v>6600</v>
      </c>
      <c r="H186" s="152"/>
      <c r="I186" s="115">
        <f t="shared" si="48"/>
        <v>0</v>
      </c>
      <c r="J186" s="152"/>
      <c r="K186" s="115">
        <f t="shared" si="49"/>
        <v>0</v>
      </c>
      <c r="L186" s="152"/>
      <c r="M186" s="115">
        <f t="shared" si="50"/>
        <v>0</v>
      </c>
      <c r="N186" s="152"/>
      <c r="O186" s="115">
        <f t="shared" si="51"/>
        <v>0</v>
      </c>
      <c r="P186" s="152"/>
      <c r="Q186" s="115">
        <f t="shared" si="52"/>
        <v>0</v>
      </c>
      <c r="R186" s="149"/>
      <c r="S186" s="113">
        <f t="shared" si="53"/>
        <v>0</v>
      </c>
    </row>
    <row r="187" spans="1:19" s="58" customFormat="1" ht="12.75">
      <c r="A187" s="127">
        <f t="shared" si="54"/>
        <v>8</v>
      </c>
      <c r="B187" s="128">
        <f>LOOKUP($A187,Quantities!$T222:$T237,Quantities!AE222:AE237)</f>
        <v>614</v>
      </c>
      <c r="C187" s="128">
        <f>LOOKUP($A187,Quantities!$T222:$T237,Quantities!AF222:AF237)</f>
        <v>1</v>
      </c>
      <c r="D187" s="128" t="str">
        <f>LOOKUP($A187,Quantities!$T222:$T237,Quantities!AG222:AG237)</f>
        <v>L.S.</v>
      </c>
      <c r="E187" s="128" t="str">
        <f>LOOKUP($A187,Quantities!$T222:$T237,Quantities!AR222:AR237)</f>
        <v>Maintaining Traffic</v>
      </c>
      <c r="F187" s="129">
        <f>LOOKUP($A187,Quantities!$T222:$T237,Quantities!AQ222:AQ237)</f>
        <v>3000</v>
      </c>
      <c r="G187" s="130">
        <f t="shared" si="47"/>
        <v>3000</v>
      </c>
      <c r="H187" s="152"/>
      <c r="I187" s="115">
        <f t="shared" si="48"/>
        <v>0</v>
      </c>
      <c r="J187" s="152"/>
      <c r="K187" s="115">
        <f t="shared" si="49"/>
        <v>0</v>
      </c>
      <c r="L187" s="152"/>
      <c r="M187" s="115">
        <f t="shared" si="50"/>
        <v>0</v>
      </c>
      <c r="N187" s="152"/>
      <c r="O187" s="115">
        <f t="shared" si="51"/>
        <v>0</v>
      </c>
      <c r="P187" s="152"/>
      <c r="Q187" s="115">
        <f t="shared" si="52"/>
        <v>0</v>
      </c>
      <c r="R187" s="149"/>
      <c r="S187" s="113">
        <f t="shared" si="53"/>
        <v>0</v>
      </c>
    </row>
    <row r="188" spans="1:19" s="58" customFormat="1" ht="12.75">
      <c r="A188" s="127">
        <f t="shared" si="54"/>
        <v>9</v>
      </c>
      <c r="B188" s="128">
        <f>LOOKUP($A188,Quantities!$T222:$T237,Quantities!AE222:AE237)</f>
        <v>624</v>
      </c>
      <c r="C188" s="128">
        <f>LOOKUP($A188,Quantities!$T222:$T237,Quantities!AF222:AF237)</f>
        <v>1</v>
      </c>
      <c r="D188" s="128" t="str">
        <f>LOOKUP($A188,Quantities!$T222:$T237,Quantities!AG222:AG237)</f>
        <v>L.S.</v>
      </c>
      <c r="E188" s="128" t="str">
        <f>LOOKUP($A188,Quantities!$T222:$T237,Quantities!AR222:AR237)</f>
        <v>Mobilization</v>
      </c>
      <c r="F188" s="129">
        <f>LOOKUP($A188,Quantities!$T222:$T237,Quantities!AQ222:AQ237)</f>
        <v>3500</v>
      </c>
      <c r="G188" s="130">
        <f t="shared" si="47"/>
        <v>3500</v>
      </c>
      <c r="H188" s="152"/>
      <c r="I188" s="115">
        <f t="shared" si="48"/>
        <v>0</v>
      </c>
      <c r="J188" s="152"/>
      <c r="K188" s="115">
        <f t="shared" si="49"/>
        <v>0</v>
      </c>
      <c r="L188" s="152"/>
      <c r="M188" s="115">
        <f t="shared" si="50"/>
        <v>0</v>
      </c>
      <c r="N188" s="152"/>
      <c r="O188" s="115">
        <f t="shared" si="51"/>
        <v>0</v>
      </c>
      <c r="P188" s="152"/>
      <c r="Q188" s="115">
        <f t="shared" si="52"/>
        <v>0</v>
      </c>
      <c r="R188" s="149"/>
      <c r="S188" s="113">
        <f t="shared" si="53"/>
        <v>0</v>
      </c>
    </row>
    <row r="189" spans="1:19" s="58" customFormat="1" ht="12.75">
      <c r="A189" s="127">
        <f t="shared" si="54"/>
        <v>10</v>
      </c>
      <c r="B189" s="128">
        <f>LOOKUP($A189,Quantities!$T222:$T237,Quantities!AE222:AE237)</f>
        <v>103.05</v>
      </c>
      <c r="C189" s="128">
        <f>LOOKUP($A189,Quantities!$T222:$T237,Quantities!AF222:AF237)</f>
        <v>1</v>
      </c>
      <c r="D189" s="128" t="str">
        <f>LOOKUP($A189,Quantities!$T222:$T237,Quantities!AG222:AG237)</f>
        <v>L.S.</v>
      </c>
      <c r="E189" s="128" t="str">
        <f>LOOKUP($A189,Quantities!$T222:$T237,Quantities!AR222:AR237)</f>
        <v>Contract Performance &amp; Payment Bond</v>
      </c>
      <c r="F189" s="129">
        <f>LOOKUP($A189,Quantities!$T222:$T237,Quantities!AQ222:AQ237)</f>
        <v>1002.5</v>
      </c>
      <c r="G189" s="130">
        <f t="shared" si="47"/>
        <v>1002.5</v>
      </c>
      <c r="H189" s="152"/>
      <c r="I189" s="115">
        <f t="shared" si="48"/>
        <v>0</v>
      </c>
      <c r="J189" s="152"/>
      <c r="K189" s="115">
        <f t="shared" si="49"/>
        <v>0</v>
      </c>
      <c r="L189" s="152"/>
      <c r="M189" s="115">
        <f t="shared" si="50"/>
        <v>0</v>
      </c>
      <c r="N189" s="152"/>
      <c r="O189" s="115">
        <f t="shared" si="51"/>
        <v>0</v>
      </c>
      <c r="P189" s="152"/>
      <c r="Q189" s="115">
        <f t="shared" si="52"/>
        <v>0</v>
      </c>
      <c r="R189" s="149"/>
      <c r="S189" s="113">
        <f t="shared" si="53"/>
        <v>0</v>
      </c>
    </row>
    <row r="190" spans="1:19" s="58" customFormat="1" ht="12.75">
      <c r="A190" s="127">
        <f t="shared" si="54"/>
        <v>11</v>
      </c>
      <c r="B190" s="128">
        <f>LOOKUP($A190,Quantities!$T222:$T237,Quantities!AE222:AE237)</f>
      </c>
      <c r="C190" s="128">
        <f>LOOKUP($A190,Quantities!$T222:$T237,Quantities!AF222:AF237)</f>
      </c>
      <c r="D190" s="128">
        <f>LOOKUP($A190,Quantities!$T222:$T237,Quantities!AG222:AG237)</f>
      </c>
      <c r="E190" s="128">
        <f>LOOKUP($A190,Quantities!$T222:$T237,Quantities!AR222:AR237)</f>
      </c>
      <c r="F190" s="129">
        <f>LOOKUP($A190,Quantities!$T222:$T237,Quantities!AQ222:AQ237)</f>
        <v>0</v>
      </c>
      <c r="G190" s="130">
        <f t="shared" si="47"/>
        <v>0</v>
      </c>
      <c r="H190" s="152"/>
      <c r="I190" s="115">
        <f t="shared" si="48"/>
        <v>0</v>
      </c>
      <c r="J190" s="152"/>
      <c r="K190" s="115">
        <f t="shared" si="49"/>
        <v>0</v>
      </c>
      <c r="L190" s="152"/>
      <c r="M190" s="115">
        <f t="shared" si="50"/>
        <v>0</v>
      </c>
      <c r="N190" s="152"/>
      <c r="O190" s="115">
        <f t="shared" si="51"/>
        <v>0</v>
      </c>
      <c r="P190" s="152"/>
      <c r="Q190" s="115">
        <f t="shared" si="52"/>
        <v>0</v>
      </c>
      <c r="R190" s="149"/>
      <c r="S190" s="113">
        <f t="shared" si="53"/>
        <v>0</v>
      </c>
    </row>
    <row r="191" spans="1:19" s="58" customFormat="1" ht="12.75">
      <c r="A191" s="127">
        <f t="shared" si="54"/>
        <v>12</v>
      </c>
      <c r="B191" s="128">
        <f>LOOKUP($A191,Quantities!$T222:$T237,Quantities!AE222:AE237)</f>
      </c>
      <c r="C191" s="128">
        <f>LOOKUP($A191,Quantities!$T222:$T237,Quantities!AF222:AF237)</f>
      </c>
      <c r="D191" s="128">
        <f>LOOKUP($A191,Quantities!$T222:$T237,Quantities!AG222:AG237)</f>
      </c>
      <c r="E191" s="128">
        <f>LOOKUP($A191,Quantities!$T222:$T237,Quantities!AR222:AR237)</f>
      </c>
      <c r="F191" s="129">
        <f>LOOKUP($A191,Quantities!$T222:$T237,Quantities!AQ222:AQ237)</f>
        <v>0</v>
      </c>
      <c r="G191" s="130">
        <f t="shared" si="47"/>
        <v>0</v>
      </c>
      <c r="H191" s="152"/>
      <c r="I191" s="115">
        <f t="shared" si="48"/>
        <v>0</v>
      </c>
      <c r="J191" s="152"/>
      <c r="K191" s="115">
        <f t="shared" si="49"/>
        <v>0</v>
      </c>
      <c r="L191" s="152"/>
      <c r="M191" s="115">
        <f t="shared" si="50"/>
        <v>0</v>
      </c>
      <c r="N191" s="152"/>
      <c r="O191" s="115">
        <f t="shared" si="51"/>
        <v>0</v>
      </c>
      <c r="P191" s="152"/>
      <c r="Q191" s="115">
        <f t="shared" si="52"/>
        <v>0</v>
      </c>
      <c r="R191" s="149"/>
      <c r="S191" s="113">
        <f t="shared" si="53"/>
        <v>0</v>
      </c>
    </row>
    <row r="192" spans="1:19" s="58" customFormat="1" ht="12.75">
      <c r="A192" s="127">
        <f t="shared" si="54"/>
        <v>13</v>
      </c>
      <c r="B192" s="128">
        <f>LOOKUP($A192,Quantities!$T222:$T237,Quantities!AE222:AE237)</f>
      </c>
      <c r="C192" s="128">
        <f>LOOKUP($A192,Quantities!$T222:$T237,Quantities!AF222:AF237)</f>
      </c>
      <c r="D192" s="128">
        <f>LOOKUP($A192,Quantities!$T222:$T237,Quantities!AG222:AG237)</f>
      </c>
      <c r="E192" s="128">
        <f>LOOKUP($A192,Quantities!$T222:$T237,Quantities!AR222:AR237)</f>
      </c>
      <c r="F192" s="129">
        <f>LOOKUP($A192,Quantities!$T222:$T237,Quantities!AQ222:AQ237)</f>
        <v>0</v>
      </c>
      <c r="G192" s="130">
        <f t="shared" si="47"/>
        <v>0</v>
      </c>
      <c r="H192" s="152"/>
      <c r="I192" s="115">
        <f t="shared" si="48"/>
        <v>0</v>
      </c>
      <c r="J192" s="152"/>
      <c r="K192" s="115">
        <f t="shared" si="49"/>
        <v>0</v>
      </c>
      <c r="L192" s="152"/>
      <c r="M192" s="115">
        <f t="shared" si="50"/>
        <v>0</v>
      </c>
      <c r="N192" s="152"/>
      <c r="O192" s="115">
        <f t="shared" si="51"/>
        <v>0</v>
      </c>
      <c r="P192" s="152"/>
      <c r="Q192" s="115">
        <f t="shared" si="52"/>
        <v>0</v>
      </c>
      <c r="R192" s="149"/>
      <c r="S192" s="113">
        <f t="shared" si="53"/>
        <v>0</v>
      </c>
    </row>
    <row r="193" spans="1:19" s="58" customFormat="1" ht="12.75">
      <c r="A193" s="127">
        <f t="shared" si="54"/>
        <v>14</v>
      </c>
      <c r="B193" s="128">
        <f>LOOKUP($A193,Quantities!$T222:$T237,Quantities!AE222:AE237)</f>
      </c>
      <c r="C193" s="128">
        <f>LOOKUP($A193,Quantities!$T222:$T237,Quantities!AF222:AF237)</f>
      </c>
      <c r="D193" s="128">
        <f>LOOKUP($A193,Quantities!$T222:$T237,Quantities!AG222:AG237)</f>
      </c>
      <c r="E193" s="128">
        <f>LOOKUP($A193,Quantities!$T222:$T237,Quantities!AR222:AR237)</f>
      </c>
      <c r="F193" s="129">
        <f>LOOKUP($A193,Quantities!$T222:$T237,Quantities!AQ222:AQ237)</f>
        <v>0</v>
      </c>
      <c r="G193" s="130">
        <f t="shared" si="47"/>
        <v>0</v>
      </c>
      <c r="H193" s="152"/>
      <c r="I193" s="115">
        <f t="shared" si="48"/>
        <v>0</v>
      </c>
      <c r="J193" s="152"/>
      <c r="K193" s="115">
        <f t="shared" si="49"/>
        <v>0</v>
      </c>
      <c r="L193" s="152"/>
      <c r="M193" s="115">
        <f t="shared" si="50"/>
        <v>0</v>
      </c>
      <c r="N193" s="152"/>
      <c r="O193" s="115">
        <f t="shared" si="51"/>
        <v>0</v>
      </c>
      <c r="P193" s="152"/>
      <c r="Q193" s="115">
        <f t="shared" si="52"/>
        <v>0</v>
      </c>
      <c r="R193" s="149"/>
      <c r="S193" s="113">
        <f t="shared" si="53"/>
        <v>0</v>
      </c>
    </row>
    <row r="194" spans="1:19" s="59" customFormat="1" ht="12.75">
      <c r="A194" s="127">
        <f t="shared" si="54"/>
        <v>15</v>
      </c>
      <c r="B194" s="128">
        <f>LOOKUP($A194,Quantities!$T222:$T237,Quantities!AE222:AE237)</f>
      </c>
      <c r="C194" s="128">
        <f>LOOKUP($A194,Quantities!$T222:$T237,Quantities!AF222:AF237)</f>
      </c>
      <c r="D194" s="128">
        <f>LOOKUP($A194,Quantities!$T222:$T237,Quantities!AG222:AG237)</f>
      </c>
      <c r="E194" s="128">
        <f>LOOKUP($A194,Quantities!$T222:$T237,Quantities!AR222:AR237)</f>
      </c>
      <c r="F194" s="129">
        <f>LOOKUP($A194,Quantities!$T222:$T237,Quantities!AQ222:AQ237)</f>
        <v>0</v>
      </c>
      <c r="G194" s="130">
        <f t="shared" si="47"/>
        <v>0</v>
      </c>
      <c r="H194" s="152"/>
      <c r="I194" s="115">
        <f t="shared" si="48"/>
        <v>0</v>
      </c>
      <c r="J194" s="152"/>
      <c r="K194" s="115">
        <f t="shared" si="49"/>
        <v>0</v>
      </c>
      <c r="L194" s="152"/>
      <c r="M194" s="115">
        <f t="shared" si="50"/>
        <v>0</v>
      </c>
      <c r="N194" s="152"/>
      <c r="O194" s="115">
        <f t="shared" si="51"/>
        <v>0</v>
      </c>
      <c r="P194" s="152"/>
      <c r="Q194" s="115">
        <f t="shared" si="52"/>
        <v>0</v>
      </c>
      <c r="R194" s="149"/>
      <c r="S194" s="113">
        <f t="shared" si="53"/>
        <v>0</v>
      </c>
    </row>
    <row r="195" spans="1:19" s="59" customFormat="1" ht="12.75">
      <c r="A195" s="127">
        <f t="shared" si="54"/>
        <v>16</v>
      </c>
      <c r="B195" s="128">
        <f>LOOKUP($A195,Quantities!$T222:$T237,Quantities!AE222:AE237)</f>
      </c>
      <c r="C195" s="128">
        <f>LOOKUP($A195,Quantities!$T222:$T237,Quantities!AF222:AF237)</f>
      </c>
      <c r="D195" s="128">
        <f>LOOKUP($A195,Quantities!$T222:$T237,Quantities!AG222:AG237)</f>
      </c>
      <c r="E195" s="128">
        <f>LOOKUP($A195,Quantities!$T222:$T237,Quantities!AR222:AR237)</f>
      </c>
      <c r="F195" s="129">
        <f>LOOKUP($A195,Quantities!$T222:$T237,Quantities!AQ222:AQ237)</f>
        <v>0</v>
      </c>
      <c r="G195" s="130">
        <f t="shared" si="47"/>
        <v>0</v>
      </c>
      <c r="H195" s="152"/>
      <c r="I195" s="115">
        <f t="shared" si="48"/>
        <v>0</v>
      </c>
      <c r="J195" s="152"/>
      <c r="K195" s="115">
        <f t="shared" si="49"/>
        <v>0</v>
      </c>
      <c r="L195" s="152"/>
      <c r="M195" s="115">
        <f t="shared" si="50"/>
        <v>0</v>
      </c>
      <c r="N195" s="152"/>
      <c r="O195" s="115">
        <f t="shared" si="51"/>
        <v>0</v>
      </c>
      <c r="P195" s="152"/>
      <c r="Q195" s="115">
        <f t="shared" si="52"/>
        <v>0</v>
      </c>
      <c r="R195" s="149"/>
      <c r="S195" s="113">
        <f t="shared" si="53"/>
        <v>0</v>
      </c>
    </row>
    <row r="196" spans="1:19" ht="13.5" thickBot="1">
      <c r="A196" s="131"/>
      <c r="B196" s="132"/>
      <c r="C196" s="132"/>
      <c r="D196" s="132"/>
      <c r="E196" s="133" t="s">
        <v>129</v>
      </c>
      <c r="F196" s="134"/>
      <c r="G196" s="135">
        <f>SUM(G180:G195)</f>
        <v>169685</v>
      </c>
      <c r="H196" s="153"/>
      <c r="I196" s="116">
        <f>SUM(I180:I195)</f>
        <v>0</v>
      </c>
      <c r="J196" s="153"/>
      <c r="K196" s="116">
        <f>SUM(K180:K195)</f>
        <v>0</v>
      </c>
      <c r="L196" s="153"/>
      <c r="M196" s="116">
        <f>SUM(M180:M195)</f>
        <v>0</v>
      </c>
      <c r="N196" s="153"/>
      <c r="O196" s="116">
        <f>SUM(O180:O195)</f>
        <v>0</v>
      </c>
      <c r="P196" s="153"/>
      <c r="Q196" s="116">
        <f>SUM(Q180:Q195)</f>
        <v>0</v>
      </c>
      <c r="R196" s="150"/>
      <c r="S196" s="114">
        <f>SUM(S180:S195)</f>
        <v>0</v>
      </c>
    </row>
    <row r="197" ht="11.25" customHeight="1"/>
    <row r="198" spans="1:7" s="44" customFormat="1" ht="12.75">
      <c r="A198" s="43">
        <f>Quantities!C252</f>
        <v>0</v>
      </c>
      <c r="F198" s="45"/>
      <c r="G198" s="45"/>
    </row>
    <row r="199" spans="1:7" s="38" customFormat="1" ht="12.75">
      <c r="A199" s="44" t="str">
        <f>Quantities!AB270</f>
        <v>Length:  0 Feet or 0 Mile(s)</v>
      </c>
      <c r="B199" s="46"/>
      <c r="C199" s="44"/>
      <c r="D199" s="47"/>
      <c r="F199" s="48"/>
      <c r="G199" s="48"/>
    </row>
    <row r="200" spans="1:7" s="38" customFormat="1" ht="12.75">
      <c r="A200" s="44" t="str">
        <f>Quantities!AB271</f>
        <v>Width:  0 Feet     (Approx. 0 S.Y. including radius and driveway work)</v>
      </c>
      <c r="B200" s="44"/>
      <c r="C200" s="46"/>
      <c r="D200" s="49"/>
      <c r="F200" s="48"/>
      <c r="G200" s="48"/>
    </row>
    <row r="201" spans="1:7" s="38" customFormat="1" ht="13.5" thickBot="1">
      <c r="A201" s="44" t="str">
        <f>Quantities!AB272</f>
        <v>Type: ODOT Spec 823 </v>
      </c>
      <c r="B201" s="50"/>
      <c r="C201" s="50"/>
      <c r="D201" s="50"/>
      <c r="F201" s="48"/>
      <c r="G201" s="48"/>
    </row>
    <row r="202" spans="1:19" s="38" customFormat="1" ht="12.75">
      <c r="A202" s="136"/>
      <c r="B202" s="137"/>
      <c r="C202" s="138"/>
      <c r="D202" s="138"/>
      <c r="E202" s="139"/>
      <c r="F202" s="177" t="s">
        <v>150</v>
      </c>
      <c r="G202" s="178"/>
      <c r="H202" s="180" t="s">
        <v>151</v>
      </c>
      <c r="I202" s="181"/>
      <c r="J202" s="179" t="s">
        <v>152</v>
      </c>
      <c r="K202" s="179"/>
      <c r="L202" s="179" t="s">
        <v>153</v>
      </c>
      <c r="M202" s="179"/>
      <c r="N202" s="179" t="s">
        <v>154</v>
      </c>
      <c r="O202" s="179"/>
      <c r="P202" s="179" t="s">
        <v>155</v>
      </c>
      <c r="Q202" s="181"/>
      <c r="R202" s="182" t="s">
        <v>156</v>
      </c>
      <c r="S202" s="183"/>
    </row>
    <row r="203" spans="1:19" s="38" customFormat="1" ht="13.5" thickBot="1">
      <c r="A203" s="140" t="s">
        <v>1</v>
      </c>
      <c r="B203" s="141" t="s">
        <v>2</v>
      </c>
      <c r="C203" s="141" t="s">
        <v>36</v>
      </c>
      <c r="D203" s="141" t="s">
        <v>3</v>
      </c>
      <c r="E203" s="142" t="s">
        <v>4</v>
      </c>
      <c r="F203" s="143" t="s">
        <v>5</v>
      </c>
      <c r="G203" s="144" t="s">
        <v>6</v>
      </c>
      <c r="H203" s="119" t="s">
        <v>5</v>
      </c>
      <c r="I203" s="120" t="s">
        <v>6</v>
      </c>
      <c r="J203" s="119" t="s">
        <v>5</v>
      </c>
      <c r="K203" s="120" t="s">
        <v>6</v>
      </c>
      <c r="L203" s="119" t="s">
        <v>5</v>
      </c>
      <c r="M203" s="120" t="s">
        <v>6</v>
      </c>
      <c r="N203" s="119" t="s">
        <v>5</v>
      </c>
      <c r="O203" s="120" t="s">
        <v>6</v>
      </c>
      <c r="P203" s="119" t="s">
        <v>5</v>
      </c>
      <c r="Q203" s="120" t="s">
        <v>6</v>
      </c>
      <c r="R203" s="121" t="s">
        <v>5</v>
      </c>
      <c r="S203" s="122" t="s">
        <v>6</v>
      </c>
    </row>
    <row r="204" spans="1:19" s="58" customFormat="1" ht="13.5" thickTop="1">
      <c r="A204" s="123">
        <f>A180</f>
        <v>1</v>
      </c>
      <c r="B204" s="124">
        <f>LOOKUP($A204,Quantities!$T253:$T268,Quantities!AE253:AE268)</f>
      </c>
      <c r="C204" s="124">
        <f>LOOKUP($A204,Quantities!$T253:$T268,Quantities!AF253:AF268)</f>
      </c>
      <c r="D204" s="124">
        <f>LOOKUP($A204,Quantities!$T253:$T268,Quantities!AG253:AG268)</f>
      </c>
      <c r="E204" s="124">
        <f>LOOKUP($A204,Quantities!$T253:$T268,Quantities!AR253:AR268)</f>
      </c>
      <c r="F204" s="125">
        <f>LOOKUP($A204,Quantities!$T253:$T268,Quantities!AQ253:AQ268)</f>
        <v>0</v>
      </c>
      <c r="G204" s="126">
        <f aca="true" t="shared" si="55" ref="G204:G219">IF(C204="",0,F204*C204)</f>
        <v>0</v>
      </c>
      <c r="H204" s="151"/>
      <c r="I204" s="117">
        <f aca="true" t="shared" si="56" ref="I204:I219">IF($C204="",0,H204*$C204)</f>
        <v>0</v>
      </c>
      <c r="J204" s="151"/>
      <c r="K204" s="117">
        <f aca="true" t="shared" si="57" ref="K204:K219">IF($C204="",0,J204*$C204)</f>
        <v>0</v>
      </c>
      <c r="L204" s="151"/>
      <c r="M204" s="117">
        <f aca="true" t="shared" si="58" ref="M204:M219">IF($C204="",0,L204*$C204)</f>
        <v>0</v>
      </c>
      <c r="N204" s="151"/>
      <c r="O204" s="117">
        <f aca="true" t="shared" si="59" ref="O204:O219">IF($C204="",0,N204*$C204)</f>
        <v>0</v>
      </c>
      <c r="P204" s="151"/>
      <c r="Q204" s="117">
        <f aca="true" t="shared" si="60" ref="Q204:Q219">IF($C204="",0,P204*$C204)</f>
        <v>0</v>
      </c>
      <c r="R204" s="148"/>
      <c r="S204" s="118">
        <f aca="true" t="shared" si="61" ref="S204:S219">IF($C204="",0,R204*$C204)</f>
        <v>0</v>
      </c>
    </row>
    <row r="205" spans="1:19" s="58" customFormat="1" ht="12.75">
      <c r="A205" s="127">
        <f aca="true" t="shared" si="62" ref="A205:A219">A204+1</f>
        <v>2</v>
      </c>
      <c r="B205" s="128">
        <f>LOOKUP($A205,Quantities!$T253:$T268,Quantities!AE253:AE268)</f>
      </c>
      <c r="C205" s="128">
        <f>LOOKUP($A205,Quantities!$T253:$T268,Quantities!AF253:AF268)</f>
      </c>
      <c r="D205" s="128">
        <f>LOOKUP($A205,Quantities!$T253:$T268,Quantities!AG253:AG268)</f>
      </c>
      <c r="E205" s="128">
        <f>LOOKUP($A205,Quantities!$T253:$T268,Quantities!AR253:AR268)</f>
      </c>
      <c r="F205" s="129">
        <f>LOOKUP($A205,Quantities!$T253:$T268,Quantities!AQ253:AQ268)</f>
        <v>0</v>
      </c>
      <c r="G205" s="130">
        <f t="shared" si="55"/>
        <v>0</v>
      </c>
      <c r="H205" s="152"/>
      <c r="I205" s="115">
        <f t="shared" si="56"/>
        <v>0</v>
      </c>
      <c r="J205" s="152"/>
      <c r="K205" s="115">
        <f t="shared" si="57"/>
        <v>0</v>
      </c>
      <c r="L205" s="152"/>
      <c r="M205" s="115">
        <f t="shared" si="58"/>
        <v>0</v>
      </c>
      <c r="N205" s="152"/>
      <c r="O205" s="115">
        <f t="shared" si="59"/>
        <v>0</v>
      </c>
      <c r="P205" s="152"/>
      <c r="Q205" s="115">
        <f t="shared" si="60"/>
        <v>0</v>
      </c>
      <c r="R205" s="149"/>
      <c r="S205" s="113">
        <f t="shared" si="61"/>
        <v>0</v>
      </c>
    </row>
    <row r="206" spans="1:19" s="58" customFormat="1" ht="12.75">
      <c r="A206" s="127">
        <f t="shared" si="62"/>
        <v>3</v>
      </c>
      <c r="B206" s="128">
        <f>LOOKUP($A206,Quantities!$T253:$T268,Quantities!AE253:AE268)</f>
      </c>
      <c r="C206" s="128">
        <f>LOOKUP($A206,Quantities!$T253:$T268,Quantities!AF253:AF268)</f>
      </c>
      <c r="D206" s="128">
        <f>LOOKUP($A206,Quantities!$T253:$T268,Quantities!AG253:AG268)</f>
      </c>
      <c r="E206" s="128">
        <f>LOOKUP($A206,Quantities!$T253:$T268,Quantities!AR253:AR268)</f>
      </c>
      <c r="F206" s="129">
        <f>LOOKUP($A206,Quantities!$T253:$T268,Quantities!AQ253:AQ268)</f>
        <v>0</v>
      </c>
      <c r="G206" s="130">
        <f t="shared" si="55"/>
        <v>0</v>
      </c>
      <c r="H206" s="152"/>
      <c r="I206" s="115">
        <f t="shared" si="56"/>
        <v>0</v>
      </c>
      <c r="J206" s="152"/>
      <c r="K206" s="115">
        <f t="shared" si="57"/>
        <v>0</v>
      </c>
      <c r="L206" s="152"/>
      <c r="M206" s="115">
        <f t="shared" si="58"/>
        <v>0</v>
      </c>
      <c r="N206" s="152"/>
      <c r="O206" s="115">
        <f t="shared" si="59"/>
        <v>0</v>
      </c>
      <c r="P206" s="152"/>
      <c r="Q206" s="115">
        <f t="shared" si="60"/>
        <v>0</v>
      </c>
      <c r="R206" s="149"/>
      <c r="S206" s="113">
        <f t="shared" si="61"/>
        <v>0</v>
      </c>
    </row>
    <row r="207" spans="1:19" s="59" customFormat="1" ht="12.75">
      <c r="A207" s="127">
        <f t="shared" si="62"/>
        <v>4</v>
      </c>
      <c r="B207" s="128">
        <f>LOOKUP($A207,Quantities!$T253:$T268,Quantities!AE253:AE268)</f>
      </c>
      <c r="C207" s="128">
        <f>LOOKUP($A207,Quantities!$T253:$T268,Quantities!AF253:AF268)</f>
      </c>
      <c r="D207" s="128">
        <f>LOOKUP($A207,Quantities!$T253:$T268,Quantities!AG253:AG268)</f>
      </c>
      <c r="E207" s="128">
        <f>LOOKUP($A207,Quantities!$T253:$T268,Quantities!AR253:AR268)</f>
      </c>
      <c r="F207" s="129">
        <f>LOOKUP($A207,Quantities!$T253:$T268,Quantities!AQ253:AQ268)</f>
        <v>0</v>
      </c>
      <c r="G207" s="130">
        <f t="shared" si="55"/>
        <v>0</v>
      </c>
      <c r="H207" s="152"/>
      <c r="I207" s="115">
        <f t="shared" si="56"/>
        <v>0</v>
      </c>
      <c r="J207" s="152"/>
      <c r="K207" s="115">
        <f t="shared" si="57"/>
        <v>0</v>
      </c>
      <c r="L207" s="152"/>
      <c r="M207" s="115">
        <f t="shared" si="58"/>
        <v>0</v>
      </c>
      <c r="N207" s="152"/>
      <c r="O207" s="115">
        <f t="shared" si="59"/>
        <v>0</v>
      </c>
      <c r="P207" s="152"/>
      <c r="Q207" s="115">
        <f t="shared" si="60"/>
        <v>0</v>
      </c>
      <c r="R207" s="149"/>
      <c r="S207" s="113">
        <f t="shared" si="61"/>
        <v>0</v>
      </c>
    </row>
    <row r="208" spans="1:19" s="58" customFormat="1" ht="12.75">
      <c r="A208" s="127">
        <f t="shared" si="62"/>
        <v>5</v>
      </c>
      <c r="B208" s="128">
        <f>LOOKUP($A208,Quantities!$T253:$T268,Quantities!AE253:AE268)</f>
      </c>
      <c r="C208" s="128">
        <f>LOOKUP($A208,Quantities!$T253:$T268,Quantities!AF253:AF268)</f>
      </c>
      <c r="D208" s="128">
        <f>LOOKUP($A208,Quantities!$T253:$T268,Quantities!AG253:AG268)</f>
      </c>
      <c r="E208" s="128">
        <f>LOOKUP($A208,Quantities!$T253:$T268,Quantities!AR253:AR268)</f>
      </c>
      <c r="F208" s="129">
        <f>LOOKUP($A208,Quantities!$T253:$T268,Quantities!AQ253:AQ268)</f>
        <v>0</v>
      </c>
      <c r="G208" s="130">
        <f t="shared" si="55"/>
        <v>0</v>
      </c>
      <c r="H208" s="152"/>
      <c r="I208" s="115">
        <f t="shared" si="56"/>
        <v>0</v>
      </c>
      <c r="J208" s="152"/>
      <c r="K208" s="115">
        <f t="shared" si="57"/>
        <v>0</v>
      </c>
      <c r="L208" s="152"/>
      <c r="M208" s="115">
        <f t="shared" si="58"/>
        <v>0</v>
      </c>
      <c r="N208" s="152"/>
      <c r="O208" s="115">
        <f t="shared" si="59"/>
        <v>0</v>
      </c>
      <c r="P208" s="152"/>
      <c r="Q208" s="115">
        <f t="shared" si="60"/>
        <v>0</v>
      </c>
      <c r="R208" s="149"/>
      <c r="S208" s="113">
        <f t="shared" si="61"/>
        <v>0</v>
      </c>
    </row>
    <row r="209" spans="1:19" s="58" customFormat="1" ht="12.75">
      <c r="A209" s="127">
        <f t="shared" si="62"/>
        <v>6</v>
      </c>
      <c r="B209" s="128">
        <f>LOOKUP($A209,Quantities!$T253:$T268,Quantities!AE253:AE268)</f>
      </c>
      <c r="C209" s="128">
        <f>LOOKUP($A209,Quantities!$T253:$T268,Quantities!AF253:AF268)</f>
      </c>
      <c r="D209" s="128">
        <f>LOOKUP($A209,Quantities!$T253:$T268,Quantities!AG253:AG268)</f>
      </c>
      <c r="E209" s="128">
        <f>LOOKUP($A209,Quantities!$T253:$T268,Quantities!AR253:AR268)</f>
      </c>
      <c r="F209" s="129">
        <f>LOOKUP($A209,Quantities!$T253:$T268,Quantities!AQ253:AQ268)</f>
        <v>0</v>
      </c>
      <c r="G209" s="130">
        <f t="shared" si="55"/>
        <v>0</v>
      </c>
      <c r="H209" s="152"/>
      <c r="I209" s="115">
        <f t="shared" si="56"/>
        <v>0</v>
      </c>
      <c r="J209" s="152"/>
      <c r="K209" s="115">
        <f t="shared" si="57"/>
        <v>0</v>
      </c>
      <c r="L209" s="152"/>
      <c r="M209" s="115">
        <f t="shared" si="58"/>
        <v>0</v>
      </c>
      <c r="N209" s="152"/>
      <c r="O209" s="115">
        <f t="shared" si="59"/>
        <v>0</v>
      </c>
      <c r="P209" s="152"/>
      <c r="Q209" s="115">
        <f t="shared" si="60"/>
        <v>0</v>
      </c>
      <c r="R209" s="149"/>
      <c r="S209" s="113">
        <f t="shared" si="61"/>
        <v>0</v>
      </c>
    </row>
    <row r="210" spans="1:19" s="58" customFormat="1" ht="12.75">
      <c r="A210" s="127">
        <f t="shared" si="62"/>
        <v>7</v>
      </c>
      <c r="B210" s="128">
        <f>LOOKUP($A210,Quantities!$T253:$T268,Quantities!AE253:AE268)</f>
      </c>
      <c r="C210" s="128">
        <f>LOOKUP($A210,Quantities!$T253:$T268,Quantities!AF253:AF268)</f>
      </c>
      <c r="D210" s="128">
        <f>LOOKUP($A210,Quantities!$T253:$T268,Quantities!AG253:AG268)</f>
      </c>
      <c r="E210" s="128">
        <f>LOOKUP($A210,Quantities!$T253:$T268,Quantities!AR253:AR268)</f>
      </c>
      <c r="F210" s="129">
        <f>LOOKUP($A210,Quantities!$T253:$T268,Quantities!AQ253:AQ268)</f>
        <v>0</v>
      </c>
      <c r="G210" s="130">
        <f t="shared" si="55"/>
        <v>0</v>
      </c>
      <c r="H210" s="152"/>
      <c r="I210" s="115">
        <f t="shared" si="56"/>
        <v>0</v>
      </c>
      <c r="J210" s="152"/>
      <c r="K210" s="115">
        <f t="shared" si="57"/>
        <v>0</v>
      </c>
      <c r="L210" s="152"/>
      <c r="M210" s="115">
        <f t="shared" si="58"/>
        <v>0</v>
      </c>
      <c r="N210" s="152"/>
      <c r="O210" s="115">
        <f t="shared" si="59"/>
        <v>0</v>
      </c>
      <c r="P210" s="152"/>
      <c r="Q210" s="115">
        <f t="shared" si="60"/>
        <v>0</v>
      </c>
      <c r="R210" s="149"/>
      <c r="S210" s="113">
        <f t="shared" si="61"/>
        <v>0</v>
      </c>
    </row>
    <row r="211" spans="1:19" s="58" customFormat="1" ht="12.75">
      <c r="A211" s="127">
        <f t="shared" si="62"/>
        <v>8</v>
      </c>
      <c r="B211" s="128">
        <f>LOOKUP($A211,Quantities!$T253:$T268,Quantities!AE253:AE268)</f>
      </c>
      <c r="C211" s="128">
        <f>LOOKUP($A211,Quantities!$T253:$T268,Quantities!AF253:AF268)</f>
      </c>
      <c r="D211" s="128">
        <f>LOOKUP($A211,Quantities!$T253:$T268,Quantities!AG253:AG268)</f>
      </c>
      <c r="E211" s="128">
        <f>LOOKUP($A211,Quantities!$T253:$T268,Quantities!AR253:AR268)</f>
      </c>
      <c r="F211" s="129">
        <f>LOOKUP($A211,Quantities!$T253:$T268,Quantities!AQ253:AQ268)</f>
        <v>0</v>
      </c>
      <c r="G211" s="130">
        <f t="shared" si="55"/>
        <v>0</v>
      </c>
      <c r="H211" s="152"/>
      <c r="I211" s="115">
        <f t="shared" si="56"/>
        <v>0</v>
      </c>
      <c r="J211" s="152"/>
      <c r="K211" s="115">
        <f t="shared" si="57"/>
        <v>0</v>
      </c>
      <c r="L211" s="152"/>
      <c r="M211" s="115">
        <f t="shared" si="58"/>
        <v>0</v>
      </c>
      <c r="N211" s="152"/>
      <c r="O211" s="115">
        <f t="shared" si="59"/>
        <v>0</v>
      </c>
      <c r="P211" s="152"/>
      <c r="Q211" s="115">
        <f t="shared" si="60"/>
        <v>0</v>
      </c>
      <c r="R211" s="149"/>
      <c r="S211" s="113">
        <f t="shared" si="61"/>
        <v>0</v>
      </c>
    </row>
    <row r="212" spans="1:19" s="58" customFormat="1" ht="12.75">
      <c r="A212" s="127">
        <f t="shared" si="62"/>
        <v>9</v>
      </c>
      <c r="B212" s="128">
        <f>LOOKUP($A212,Quantities!$T253:$T268,Quantities!AE253:AE268)</f>
      </c>
      <c r="C212" s="128">
        <f>LOOKUP($A212,Quantities!$T253:$T268,Quantities!AF253:AF268)</f>
      </c>
      <c r="D212" s="128">
        <f>LOOKUP($A212,Quantities!$T253:$T268,Quantities!AG253:AG268)</f>
      </c>
      <c r="E212" s="128">
        <f>LOOKUP($A212,Quantities!$T253:$T268,Quantities!AR253:AR268)</f>
      </c>
      <c r="F212" s="129">
        <f>LOOKUP($A212,Quantities!$T253:$T268,Quantities!AQ253:AQ268)</f>
        <v>0</v>
      </c>
      <c r="G212" s="130">
        <f t="shared" si="55"/>
        <v>0</v>
      </c>
      <c r="H212" s="152"/>
      <c r="I212" s="115">
        <f t="shared" si="56"/>
        <v>0</v>
      </c>
      <c r="J212" s="152"/>
      <c r="K212" s="115">
        <f t="shared" si="57"/>
        <v>0</v>
      </c>
      <c r="L212" s="152"/>
      <c r="M212" s="115">
        <f t="shared" si="58"/>
        <v>0</v>
      </c>
      <c r="N212" s="152"/>
      <c r="O212" s="115">
        <f t="shared" si="59"/>
        <v>0</v>
      </c>
      <c r="P212" s="152"/>
      <c r="Q212" s="115">
        <f t="shared" si="60"/>
        <v>0</v>
      </c>
      <c r="R212" s="149"/>
      <c r="S212" s="113">
        <f t="shared" si="61"/>
        <v>0</v>
      </c>
    </row>
    <row r="213" spans="1:19" s="58" customFormat="1" ht="12.75">
      <c r="A213" s="127">
        <f t="shared" si="62"/>
        <v>10</v>
      </c>
      <c r="B213" s="128">
        <f>LOOKUP($A213,Quantities!$T253:$T268,Quantities!AE253:AE268)</f>
      </c>
      <c r="C213" s="128">
        <f>LOOKUP($A213,Quantities!$T253:$T268,Quantities!AF253:AF268)</f>
      </c>
      <c r="D213" s="128">
        <f>LOOKUP($A213,Quantities!$T253:$T268,Quantities!AG253:AG268)</f>
      </c>
      <c r="E213" s="128">
        <f>LOOKUP($A213,Quantities!$T253:$T268,Quantities!AR253:AR268)</f>
      </c>
      <c r="F213" s="129">
        <f>LOOKUP($A213,Quantities!$T253:$T268,Quantities!AQ253:AQ268)</f>
        <v>0</v>
      </c>
      <c r="G213" s="130">
        <f t="shared" si="55"/>
        <v>0</v>
      </c>
      <c r="H213" s="152"/>
      <c r="I213" s="115">
        <f t="shared" si="56"/>
        <v>0</v>
      </c>
      <c r="J213" s="152"/>
      <c r="K213" s="115">
        <f t="shared" si="57"/>
        <v>0</v>
      </c>
      <c r="L213" s="152"/>
      <c r="M213" s="115">
        <f t="shared" si="58"/>
        <v>0</v>
      </c>
      <c r="N213" s="152"/>
      <c r="O213" s="115">
        <f t="shared" si="59"/>
        <v>0</v>
      </c>
      <c r="P213" s="152"/>
      <c r="Q213" s="115">
        <f t="shared" si="60"/>
        <v>0</v>
      </c>
      <c r="R213" s="149"/>
      <c r="S213" s="113">
        <f t="shared" si="61"/>
        <v>0</v>
      </c>
    </row>
    <row r="214" spans="1:19" s="58" customFormat="1" ht="12.75">
      <c r="A214" s="127">
        <f t="shared" si="62"/>
        <v>11</v>
      </c>
      <c r="B214" s="128">
        <f>LOOKUP($A214,Quantities!$T253:$T268,Quantities!AE253:AE268)</f>
      </c>
      <c r="C214" s="128">
        <f>LOOKUP($A214,Quantities!$T253:$T268,Quantities!AF253:AF268)</f>
      </c>
      <c r="D214" s="128">
        <f>LOOKUP($A214,Quantities!$T253:$T268,Quantities!AG253:AG268)</f>
      </c>
      <c r="E214" s="128">
        <f>LOOKUP($A214,Quantities!$T253:$T268,Quantities!AR253:AR268)</f>
      </c>
      <c r="F214" s="129">
        <f>LOOKUP($A214,Quantities!$T253:$T268,Quantities!AQ253:AQ268)</f>
        <v>0</v>
      </c>
      <c r="G214" s="130">
        <f t="shared" si="55"/>
        <v>0</v>
      </c>
      <c r="H214" s="152"/>
      <c r="I214" s="115">
        <f t="shared" si="56"/>
        <v>0</v>
      </c>
      <c r="J214" s="152"/>
      <c r="K214" s="115">
        <f t="shared" si="57"/>
        <v>0</v>
      </c>
      <c r="L214" s="152"/>
      <c r="M214" s="115">
        <f t="shared" si="58"/>
        <v>0</v>
      </c>
      <c r="N214" s="152"/>
      <c r="O214" s="115">
        <f t="shared" si="59"/>
        <v>0</v>
      </c>
      <c r="P214" s="152"/>
      <c r="Q214" s="115">
        <f t="shared" si="60"/>
        <v>0</v>
      </c>
      <c r="R214" s="149"/>
      <c r="S214" s="113">
        <f t="shared" si="61"/>
        <v>0</v>
      </c>
    </row>
    <row r="215" spans="1:19" s="58" customFormat="1" ht="12.75">
      <c r="A215" s="127">
        <f t="shared" si="62"/>
        <v>12</v>
      </c>
      <c r="B215" s="128">
        <f>LOOKUP($A215,Quantities!$T253:$T268,Quantities!AE253:AE268)</f>
      </c>
      <c r="C215" s="128">
        <f>LOOKUP($A215,Quantities!$T253:$T268,Quantities!AF253:AF268)</f>
      </c>
      <c r="D215" s="128">
        <f>LOOKUP($A215,Quantities!$T253:$T268,Quantities!AG253:AG268)</f>
      </c>
      <c r="E215" s="128">
        <f>LOOKUP($A215,Quantities!$T253:$T268,Quantities!AR253:AR268)</f>
      </c>
      <c r="F215" s="129">
        <f>LOOKUP($A215,Quantities!$T253:$T268,Quantities!AQ253:AQ268)</f>
        <v>0</v>
      </c>
      <c r="G215" s="130">
        <f t="shared" si="55"/>
        <v>0</v>
      </c>
      <c r="H215" s="152"/>
      <c r="I215" s="115">
        <f t="shared" si="56"/>
        <v>0</v>
      </c>
      <c r="J215" s="152"/>
      <c r="K215" s="115">
        <f t="shared" si="57"/>
        <v>0</v>
      </c>
      <c r="L215" s="152"/>
      <c r="M215" s="115">
        <f t="shared" si="58"/>
        <v>0</v>
      </c>
      <c r="N215" s="152"/>
      <c r="O215" s="115">
        <f t="shared" si="59"/>
        <v>0</v>
      </c>
      <c r="P215" s="152"/>
      <c r="Q215" s="115">
        <f t="shared" si="60"/>
        <v>0</v>
      </c>
      <c r="R215" s="149"/>
      <c r="S215" s="113">
        <f t="shared" si="61"/>
        <v>0</v>
      </c>
    </row>
    <row r="216" spans="1:19" s="58" customFormat="1" ht="12.75">
      <c r="A216" s="127">
        <f t="shared" si="62"/>
        <v>13</v>
      </c>
      <c r="B216" s="128">
        <f>LOOKUP($A216,Quantities!$T253:$T268,Quantities!AE253:AE268)</f>
      </c>
      <c r="C216" s="128">
        <f>LOOKUP($A216,Quantities!$T253:$T268,Quantities!AF253:AF268)</f>
      </c>
      <c r="D216" s="128">
        <f>LOOKUP($A216,Quantities!$T253:$T268,Quantities!AG253:AG268)</f>
      </c>
      <c r="E216" s="128">
        <f>LOOKUP($A216,Quantities!$T253:$T268,Quantities!AR253:AR268)</f>
      </c>
      <c r="F216" s="129">
        <f>LOOKUP($A216,Quantities!$T253:$T268,Quantities!AQ253:AQ268)</f>
        <v>0</v>
      </c>
      <c r="G216" s="130">
        <f t="shared" si="55"/>
        <v>0</v>
      </c>
      <c r="H216" s="152"/>
      <c r="I216" s="115">
        <f t="shared" si="56"/>
        <v>0</v>
      </c>
      <c r="J216" s="152"/>
      <c r="K216" s="115">
        <f t="shared" si="57"/>
        <v>0</v>
      </c>
      <c r="L216" s="152"/>
      <c r="M216" s="115">
        <f t="shared" si="58"/>
        <v>0</v>
      </c>
      <c r="N216" s="152"/>
      <c r="O216" s="115">
        <f t="shared" si="59"/>
        <v>0</v>
      </c>
      <c r="P216" s="152"/>
      <c r="Q216" s="115">
        <f t="shared" si="60"/>
        <v>0</v>
      </c>
      <c r="R216" s="149"/>
      <c r="S216" s="113">
        <f t="shared" si="61"/>
        <v>0</v>
      </c>
    </row>
    <row r="217" spans="1:19" s="58" customFormat="1" ht="12.75">
      <c r="A217" s="127">
        <f t="shared" si="62"/>
        <v>14</v>
      </c>
      <c r="B217" s="128">
        <f>LOOKUP($A217,Quantities!$T253:$T268,Quantities!AE253:AE268)</f>
      </c>
      <c r="C217" s="128">
        <f>LOOKUP($A217,Quantities!$T253:$T268,Quantities!AF253:AF268)</f>
      </c>
      <c r="D217" s="128">
        <f>LOOKUP($A217,Quantities!$T253:$T268,Quantities!AG253:AG268)</f>
      </c>
      <c r="E217" s="128">
        <f>LOOKUP($A217,Quantities!$T253:$T268,Quantities!AR253:AR268)</f>
      </c>
      <c r="F217" s="129">
        <f>LOOKUP($A217,Quantities!$T253:$T268,Quantities!AQ253:AQ268)</f>
        <v>0</v>
      </c>
      <c r="G217" s="130">
        <f t="shared" si="55"/>
        <v>0</v>
      </c>
      <c r="H217" s="152"/>
      <c r="I217" s="115">
        <f t="shared" si="56"/>
        <v>0</v>
      </c>
      <c r="J217" s="152"/>
      <c r="K217" s="115">
        <f t="shared" si="57"/>
        <v>0</v>
      </c>
      <c r="L217" s="152"/>
      <c r="M217" s="115">
        <f t="shared" si="58"/>
        <v>0</v>
      </c>
      <c r="N217" s="152"/>
      <c r="O217" s="115">
        <f t="shared" si="59"/>
        <v>0</v>
      </c>
      <c r="P217" s="152"/>
      <c r="Q217" s="115">
        <f t="shared" si="60"/>
        <v>0</v>
      </c>
      <c r="R217" s="149"/>
      <c r="S217" s="113">
        <f t="shared" si="61"/>
        <v>0</v>
      </c>
    </row>
    <row r="218" spans="1:19" s="59" customFormat="1" ht="12.75">
      <c r="A218" s="127">
        <f t="shared" si="62"/>
        <v>15</v>
      </c>
      <c r="B218" s="128">
        <f>LOOKUP($A218,Quantities!$T253:$T268,Quantities!AE253:AE268)</f>
      </c>
      <c r="C218" s="128">
        <f>LOOKUP($A218,Quantities!$T253:$T268,Quantities!AF253:AF268)</f>
      </c>
      <c r="D218" s="128">
        <f>LOOKUP($A218,Quantities!$T253:$T268,Quantities!AG253:AG268)</f>
      </c>
      <c r="E218" s="128">
        <f>LOOKUP($A218,Quantities!$T253:$T268,Quantities!AR253:AR268)</f>
      </c>
      <c r="F218" s="129">
        <f>LOOKUP($A218,Quantities!$T253:$T268,Quantities!AQ253:AQ268)</f>
        <v>0</v>
      </c>
      <c r="G218" s="130">
        <f t="shared" si="55"/>
        <v>0</v>
      </c>
      <c r="H218" s="152"/>
      <c r="I218" s="115">
        <f t="shared" si="56"/>
        <v>0</v>
      </c>
      <c r="J218" s="152"/>
      <c r="K218" s="115">
        <f t="shared" si="57"/>
        <v>0</v>
      </c>
      <c r="L218" s="152"/>
      <c r="M218" s="115">
        <f t="shared" si="58"/>
        <v>0</v>
      </c>
      <c r="N218" s="152"/>
      <c r="O218" s="115">
        <f t="shared" si="59"/>
        <v>0</v>
      </c>
      <c r="P218" s="152"/>
      <c r="Q218" s="115">
        <f t="shared" si="60"/>
        <v>0</v>
      </c>
      <c r="R218" s="149"/>
      <c r="S218" s="113">
        <f t="shared" si="61"/>
        <v>0</v>
      </c>
    </row>
    <row r="219" spans="1:19" s="59" customFormat="1" ht="12.75">
      <c r="A219" s="127">
        <f t="shared" si="62"/>
        <v>16</v>
      </c>
      <c r="B219" s="128">
        <f>LOOKUP($A219,Quantities!$T253:$T268,Quantities!AE253:AE268)</f>
      </c>
      <c r="C219" s="128">
        <f>LOOKUP($A219,Quantities!$T253:$T268,Quantities!AF253:AF268)</f>
      </c>
      <c r="D219" s="128">
        <f>LOOKUP($A219,Quantities!$T253:$T268,Quantities!AG253:AG268)</f>
      </c>
      <c r="E219" s="128">
        <f>LOOKUP($A219,Quantities!$T253:$T268,Quantities!AR253:AR268)</f>
      </c>
      <c r="F219" s="129">
        <f>LOOKUP($A219,Quantities!$T253:$T268,Quantities!AQ253:AQ268)</f>
        <v>0</v>
      </c>
      <c r="G219" s="130">
        <f t="shared" si="55"/>
        <v>0</v>
      </c>
      <c r="H219" s="152"/>
      <c r="I219" s="115">
        <f t="shared" si="56"/>
        <v>0</v>
      </c>
      <c r="J219" s="152"/>
      <c r="K219" s="115">
        <f t="shared" si="57"/>
        <v>0</v>
      </c>
      <c r="L219" s="152"/>
      <c r="M219" s="115">
        <f t="shared" si="58"/>
        <v>0</v>
      </c>
      <c r="N219" s="152"/>
      <c r="O219" s="115">
        <f t="shared" si="59"/>
        <v>0</v>
      </c>
      <c r="P219" s="152"/>
      <c r="Q219" s="115">
        <f t="shared" si="60"/>
        <v>0</v>
      </c>
      <c r="R219" s="149"/>
      <c r="S219" s="113">
        <f t="shared" si="61"/>
        <v>0</v>
      </c>
    </row>
    <row r="220" spans="1:19" ht="13.5" thickBot="1">
      <c r="A220" s="131"/>
      <c r="B220" s="132"/>
      <c r="C220" s="132"/>
      <c r="D220" s="132"/>
      <c r="E220" s="133" t="s">
        <v>129</v>
      </c>
      <c r="F220" s="134"/>
      <c r="G220" s="135">
        <f>SUM(G204:G219)</f>
        <v>0</v>
      </c>
      <c r="H220" s="153"/>
      <c r="I220" s="116">
        <f>SUM(I204:I219)</f>
        <v>0</v>
      </c>
      <c r="J220" s="153"/>
      <c r="K220" s="116">
        <f>SUM(K204:K219)</f>
        <v>0</v>
      </c>
      <c r="L220" s="153"/>
      <c r="M220" s="116">
        <f>SUM(M204:M219)</f>
        <v>0</v>
      </c>
      <c r="N220" s="153"/>
      <c r="O220" s="116">
        <f>SUM(O204:O219)</f>
        <v>0</v>
      </c>
      <c r="P220" s="153"/>
      <c r="Q220" s="116">
        <f>SUM(Q204:Q219)</f>
        <v>0</v>
      </c>
      <c r="R220" s="150"/>
      <c r="S220" s="114">
        <f>SUM(S204:S219)</f>
        <v>0</v>
      </c>
    </row>
    <row r="221" ht="11.25" customHeight="1"/>
    <row r="222" spans="1:19" s="147" customFormat="1" ht="15.75">
      <c r="A222" s="145"/>
      <c r="B222" s="145"/>
      <c r="C222" s="145"/>
      <c r="D222" s="145"/>
      <c r="E222" s="146" t="s">
        <v>148</v>
      </c>
      <c r="F222" s="168">
        <f>SUM(G220,G196,G172,G148,G124,G100,G76,G52,G28)</f>
        <v>1372575</v>
      </c>
      <c r="G222" s="184"/>
      <c r="H222" s="168">
        <f>SUM(I220,I196,I172,I148,I124,I100,I76,I52,I28)</f>
        <v>0</v>
      </c>
      <c r="I222" s="184"/>
      <c r="J222" s="168">
        <f>SUM(K220,K196,K172,K148,K124,K100,K76,K52,K28)</f>
        <v>0</v>
      </c>
      <c r="K222" s="184"/>
      <c r="L222" s="168">
        <f>SUM(M220,M196,M172,M148,M124,M100,M76,M52,M28)</f>
        <v>0</v>
      </c>
      <c r="M222" s="184"/>
      <c r="N222" s="168">
        <f>SUM(O220,O196,O172,O148,O124,O100,O76,O52,O28)</f>
        <v>0</v>
      </c>
      <c r="O222" s="184"/>
      <c r="P222" s="168">
        <f>SUM(Q220,Q196,Q172,Q148,Q124,Q100,Q76,Q52,Q28)</f>
        <v>0</v>
      </c>
      <c r="Q222" s="184"/>
      <c r="R222" s="168">
        <f>SUM(S220,S196,S172,S148,S124,S100,S76,S52,S28)</f>
        <v>0</v>
      </c>
      <c r="S222" s="184"/>
    </row>
    <row r="223" spans="8:19" ht="11.25" customHeight="1"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8:19" ht="12.75"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8:19" ht="12.75"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8:19" ht="12.75"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8:19" ht="12.75"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8:19" ht="12.75"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8:19" ht="12.75"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8:19" ht="12.75"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8:19" ht="12.75"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8:19" ht="12.75"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8:19" ht="12.75"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8:19" ht="12.75"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8:19" ht="12.75"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8:19" ht="12.75"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8:19" ht="12.75"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8:19" ht="12.75"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8:19" ht="12.75"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8:19" ht="12.75"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8:19" ht="12.75"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8:19" ht="12.75"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8:19" ht="12.75"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8:19" ht="12.75"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8:19" ht="12.75"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8:19" ht="12.75"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8:19" ht="12.75"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8:19" ht="12.75"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8:19" ht="12.75"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8:19" ht="12.75"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8:19" ht="12.75"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8:19" ht="12.75"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8:19" ht="12.75"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8:19" ht="12.75"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8:19" ht="12.75"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</row>
    <row r="256" spans="8:19" ht="12.75"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</row>
    <row r="257" spans="8:19" ht="12.75"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</row>
    <row r="258" spans="8:19" ht="12.75"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</row>
    <row r="259" spans="8:19" ht="12.75"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</row>
    <row r="260" spans="8:19" ht="12.75"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</row>
    <row r="261" spans="8:19" ht="12.75"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8:19" ht="12.75"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</row>
    <row r="263" spans="8:19" ht="12.75"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8:19" ht="12.75"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</row>
    <row r="265" spans="8:19" ht="12.75"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8:19" ht="12.75"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8:19" ht="12.75"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</row>
    <row r="268" spans="8:19" ht="12.75"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</row>
    <row r="269" spans="8:19" ht="12.75"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</row>
    <row r="270" spans="8:19" ht="12.75"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</row>
    <row r="271" spans="8:19" ht="12.75"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</row>
    <row r="272" spans="8:19" ht="12.75"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</row>
    <row r="273" spans="8:19" ht="12.75"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</row>
    <row r="274" spans="8:19" ht="12.75"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</row>
    <row r="275" spans="8:19" ht="12.75"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8:19" ht="12.75"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</row>
    <row r="277" spans="8:19" ht="12.75"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</row>
    <row r="278" spans="8:19" ht="12.75"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</row>
  </sheetData>
  <sheetProtection formatCells="0" formatColumns="0" formatRows="0"/>
  <mergeCells count="74">
    <mergeCell ref="R222:S222"/>
    <mergeCell ref="F202:G202"/>
    <mergeCell ref="F222:G222"/>
    <mergeCell ref="H222:I222"/>
    <mergeCell ref="J222:K222"/>
    <mergeCell ref="L222:M222"/>
    <mergeCell ref="N222:O222"/>
    <mergeCell ref="P222:Q222"/>
    <mergeCell ref="H202:I202"/>
    <mergeCell ref="J202:K202"/>
    <mergeCell ref="L202:M202"/>
    <mergeCell ref="N202:O202"/>
    <mergeCell ref="P202:Q202"/>
    <mergeCell ref="R202:S202"/>
    <mergeCell ref="R178:S178"/>
    <mergeCell ref="H130:I130"/>
    <mergeCell ref="H154:I154"/>
    <mergeCell ref="J154:K154"/>
    <mergeCell ref="L154:M154"/>
    <mergeCell ref="N154:O154"/>
    <mergeCell ref="F178:G178"/>
    <mergeCell ref="H178:I178"/>
    <mergeCell ref="J178:K178"/>
    <mergeCell ref="L178:M178"/>
    <mergeCell ref="N178:O178"/>
    <mergeCell ref="P178:Q178"/>
    <mergeCell ref="J130:K130"/>
    <mergeCell ref="L130:M130"/>
    <mergeCell ref="N130:O130"/>
    <mergeCell ref="P130:Q130"/>
    <mergeCell ref="H106:I106"/>
    <mergeCell ref="J106:K106"/>
    <mergeCell ref="L106:M106"/>
    <mergeCell ref="N106:O106"/>
    <mergeCell ref="P106:Q106"/>
    <mergeCell ref="R106:S106"/>
    <mergeCell ref="N82:O82"/>
    <mergeCell ref="P82:Q82"/>
    <mergeCell ref="R82:S82"/>
    <mergeCell ref="R154:S154"/>
    <mergeCell ref="R130:S130"/>
    <mergeCell ref="P154:Q154"/>
    <mergeCell ref="P58:Q58"/>
    <mergeCell ref="R58:S58"/>
    <mergeCell ref="R34:S34"/>
    <mergeCell ref="F58:G58"/>
    <mergeCell ref="H58:I58"/>
    <mergeCell ref="J58:K58"/>
    <mergeCell ref="L58:M58"/>
    <mergeCell ref="N58:O58"/>
    <mergeCell ref="P10:Q10"/>
    <mergeCell ref="R10:S10"/>
    <mergeCell ref="F34:G34"/>
    <mergeCell ref="H34:I34"/>
    <mergeCell ref="J34:K34"/>
    <mergeCell ref="L34:M34"/>
    <mergeCell ref="N34:O34"/>
    <mergeCell ref="P34:Q34"/>
    <mergeCell ref="F10:G10"/>
    <mergeCell ref="H10:I10"/>
    <mergeCell ref="J10:K10"/>
    <mergeCell ref="L10:M10"/>
    <mergeCell ref="N10:O10"/>
    <mergeCell ref="F82:G82"/>
    <mergeCell ref="H82:I82"/>
    <mergeCell ref="J82:K82"/>
    <mergeCell ref="L82:M82"/>
    <mergeCell ref="F154:G154"/>
    <mergeCell ref="F106:G106"/>
    <mergeCell ref="A1:G1"/>
    <mergeCell ref="A2:G2"/>
    <mergeCell ref="A3:G3"/>
    <mergeCell ref="A4:G4"/>
    <mergeCell ref="F130:G130"/>
  </mergeCells>
  <printOptions/>
  <pageMargins left="1" right="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3">
      <selection activeCell="C33" sqref="C33"/>
    </sheetView>
  </sheetViews>
  <sheetFormatPr defaultColWidth="9.140625" defaultRowHeight="12.75"/>
  <cols>
    <col min="1" max="1" width="24.28125" style="36" customWidth="1"/>
    <col min="2" max="2" width="9.7109375" style="36" customWidth="1"/>
    <col min="3" max="3" width="32.57421875" style="36" customWidth="1"/>
    <col min="4" max="4" width="24.28125" style="36" customWidth="1"/>
    <col min="5" max="5" width="24.28125" style="36" hidden="1" customWidth="1"/>
    <col min="6" max="6" width="24.28125" style="36" customWidth="1"/>
    <col min="7" max="7" width="24.8515625" style="36" customWidth="1"/>
    <col min="8" max="8" width="7.00390625" style="36" customWidth="1"/>
    <col min="9" max="9" width="46.00390625" style="36" customWidth="1"/>
    <col min="10" max="12" width="24.8515625" style="36" customWidth="1"/>
    <col min="13" max="18" width="15.140625" style="36" customWidth="1"/>
    <col min="19" max="23" width="20.00390625" style="36" customWidth="1"/>
    <col min="24" max="24" width="27.421875" style="36" customWidth="1"/>
    <col min="25" max="16384" width="9.140625" style="36" customWidth="1"/>
  </cols>
  <sheetData>
    <row r="1" spans="6:24" ht="12.75">
      <c r="F1" s="82" t="s">
        <v>144</v>
      </c>
      <c r="L1" s="36" t="s">
        <v>144</v>
      </c>
      <c r="R1" s="36" t="s">
        <v>144</v>
      </c>
      <c r="X1" s="36" t="s">
        <v>144</v>
      </c>
    </row>
    <row r="2" spans="1:24" ht="12.75">
      <c r="A2" s="36">
        <v>1</v>
      </c>
      <c r="B2" s="36">
        <v>1.2</v>
      </c>
      <c r="C2" s="36">
        <v>1.5</v>
      </c>
      <c r="D2" s="36">
        <v>1.7</v>
      </c>
      <c r="E2" s="36">
        <f>A2+0.8</f>
        <v>1.8</v>
      </c>
      <c r="F2" s="36">
        <v>1.9</v>
      </c>
      <c r="G2" s="83">
        <v>2</v>
      </c>
      <c r="H2" s="84">
        <v>2.2</v>
      </c>
      <c r="I2" s="85">
        <v>2.5</v>
      </c>
      <c r="J2" s="84">
        <v>2.7</v>
      </c>
      <c r="K2" s="84">
        <v>2.8</v>
      </c>
      <c r="L2" s="84">
        <v>2.9</v>
      </c>
      <c r="M2" s="83">
        <v>3</v>
      </c>
      <c r="N2" s="84">
        <v>3.2</v>
      </c>
      <c r="O2" s="85">
        <v>3.5</v>
      </c>
      <c r="P2" s="84">
        <v>3.7</v>
      </c>
      <c r="Q2" s="85">
        <v>3.8</v>
      </c>
      <c r="R2" s="86">
        <v>3.9</v>
      </c>
      <c r="S2" s="85">
        <v>4</v>
      </c>
      <c r="T2" s="84">
        <v>4.2</v>
      </c>
      <c r="U2" s="85">
        <v>4.5</v>
      </c>
      <c r="V2" s="84">
        <v>4.7</v>
      </c>
      <c r="W2" s="86">
        <v>4.8</v>
      </c>
      <c r="X2" s="86">
        <v>4.9</v>
      </c>
    </row>
    <row r="3" spans="1:24" s="87" customFormat="1" ht="12.75">
      <c r="A3" s="87" t="s">
        <v>37</v>
      </c>
      <c r="G3" s="88" t="s">
        <v>38</v>
      </c>
      <c r="H3" s="89"/>
      <c r="I3" s="89" t="s">
        <v>44</v>
      </c>
      <c r="J3" s="89"/>
      <c r="K3" s="89"/>
      <c r="L3" s="89"/>
      <c r="M3" s="88" t="s">
        <v>31</v>
      </c>
      <c r="N3" s="89"/>
      <c r="O3" s="89"/>
      <c r="P3" s="89"/>
      <c r="Q3" s="89"/>
      <c r="R3" s="90"/>
      <c r="S3" s="89" t="s">
        <v>39</v>
      </c>
      <c r="T3" s="89"/>
      <c r="U3" s="89"/>
      <c r="V3" s="89"/>
      <c r="W3" s="89"/>
      <c r="X3" s="90"/>
    </row>
    <row r="4" spans="1:24" ht="12.75">
      <c r="A4" s="36" t="s">
        <v>24</v>
      </c>
      <c r="G4" s="83" t="s">
        <v>24</v>
      </c>
      <c r="H4" s="85"/>
      <c r="I4" s="85"/>
      <c r="J4" s="85"/>
      <c r="K4" s="85"/>
      <c r="L4" s="85"/>
      <c r="M4" s="83" t="s">
        <v>24</v>
      </c>
      <c r="N4" s="85"/>
      <c r="O4" s="85"/>
      <c r="P4" s="85"/>
      <c r="Q4" s="85"/>
      <c r="R4" s="86"/>
      <c r="S4" s="85" t="s">
        <v>24</v>
      </c>
      <c r="T4" s="85"/>
      <c r="U4" s="85"/>
      <c r="V4" s="85"/>
      <c r="W4" s="85"/>
      <c r="X4" s="86"/>
    </row>
    <row r="5" spans="1:24" ht="12.75">
      <c r="A5" s="36" t="s">
        <v>23</v>
      </c>
      <c r="C5" s="36" t="str">
        <f>"@ 10 SY Each"</f>
        <v>@ 10 SY Each</v>
      </c>
      <c r="G5" s="83" t="s">
        <v>23</v>
      </c>
      <c r="H5" s="85"/>
      <c r="I5" s="85" t="str">
        <f>"@ 10 SY Each"</f>
        <v>@ 10 SY Each</v>
      </c>
      <c r="J5" s="85"/>
      <c r="K5" s="85"/>
      <c r="L5" s="85"/>
      <c r="M5" s="83" t="s">
        <v>23</v>
      </c>
      <c r="N5" s="85"/>
      <c r="O5" s="85" t="str">
        <f>"@ 10 SY Each"</f>
        <v>@ 10 SY Each</v>
      </c>
      <c r="P5" s="85"/>
      <c r="Q5" s="85"/>
      <c r="R5" s="86"/>
      <c r="S5" s="85" t="s">
        <v>23</v>
      </c>
      <c r="T5" s="85"/>
      <c r="U5" s="85" t="str">
        <f>"@ 10 SY Each"</f>
        <v>@ 10 SY Each</v>
      </c>
      <c r="V5" s="85"/>
      <c r="W5" s="85"/>
      <c r="X5" s="86"/>
    </row>
    <row r="6" spans="1:24" ht="12.75">
      <c r="A6" s="36" t="s">
        <v>17</v>
      </c>
      <c r="C6" s="36" t="str">
        <f>"@ 4 SY Each"</f>
        <v>@ 4 SY Each</v>
      </c>
      <c r="G6" s="83" t="s">
        <v>17</v>
      </c>
      <c r="H6" s="85"/>
      <c r="I6" s="85" t="str">
        <f>"@ 4 SY Each"</f>
        <v>@ 4 SY Each</v>
      </c>
      <c r="J6" s="85"/>
      <c r="K6" s="85"/>
      <c r="L6" s="85"/>
      <c r="M6" s="83" t="s">
        <v>17</v>
      </c>
      <c r="N6" s="85"/>
      <c r="O6" s="85" t="str">
        <f>"@ 4 SY Each"</f>
        <v>@ 4 SY Each</v>
      </c>
      <c r="P6" s="85"/>
      <c r="Q6" s="85"/>
      <c r="R6" s="86"/>
      <c r="S6" s="85" t="s">
        <v>17</v>
      </c>
      <c r="T6" s="85"/>
      <c r="U6" s="85" t="str">
        <f>"@ 4 SY Each"</f>
        <v>@ 4 SY Each</v>
      </c>
      <c r="V6" s="85"/>
      <c r="W6" s="85"/>
      <c r="X6" s="86"/>
    </row>
    <row r="7" spans="1:24" ht="12.75">
      <c r="A7" s="82" t="s">
        <v>45</v>
      </c>
      <c r="B7" s="82"/>
      <c r="C7" s="82" t="s">
        <v>27</v>
      </c>
      <c r="D7" s="82"/>
      <c r="E7" s="82"/>
      <c r="F7" s="82"/>
      <c r="G7" s="91" t="s">
        <v>45</v>
      </c>
      <c r="H7" s="92"/>
      <c r="I7" s="92" t="s">
        <v>27</v>
      </c>
      <c r="J7" s="92"/>
      <c r="K7" s="92"/>
      <c r="L7" s="92"/>
      <c r="M7" s="91" t="s">
        <v>45</v>
      </c>
      <c r="N7" s="92"/>
      <c r="O7" s="92" t="s">
        <v>27</v>
      </c>
      <c r="P7" s="92"/>
      <c r="Q7" s="92"/>
      <c r="R7" s="93"/>
      <c r="S7" s="92" t="s">
        <v>45</v>
      </c>
      <c r="T7" s="92"/>
      <c r="U7" s="92" t="s">
        <v>27</v>
      </c>
      <c r="V7" s="92"/>
      <c r="W7" s="92"/>
      <c r="X7" s="93"/>
    </row>
    <row r="8" spans="1:24" ht="12.75">
      <c r="A8" s="82" t="s">
        <v>49</v>
      </c>
      <c r="B8" s="82"/>
      <c r="C8" s="82" t="s">
        <v>27</v>
      </c>
      <c r="D8" s="82"/>
      <c r="E8" s="82"/>
      <c r="F8" s="82"/>
      <c r="G8" s="91" t="s">
        <v>49</v>
      </c>
      <c r="H8" s="92"/>
      <c r="I8" s="92" t="s">
        <v>27</v>
      </c>
      <c r="J8" s="92"/>
      <c r="K8" s="92"/>
      <c r="L8" s="92"/>
      <c r="M8" s="91" t="s">
        <v>49</v>
      </c>
      <c r="N8" s="92"/>
      <c r="O8" s="92" t="s">
        <v>27</v>
      </c>
      <c r="P8" s="92"/>
      <c r="Q8" s="92"/>
      <c r="R8" s="93"/>
      <c r="S8" s="92" t="s">
        <v>49</v>
      </c>
      <c r="T8" s="92"/>
      <c r="U8" s="92" t="s">
        <v>27</v>
      </c>
      <c r="V8" s="92"/>
      <c r="W8" s="92"/>
      <c r="X8" s="93"/>
    </row>
    <row r="9" spans="1:24" ht="12.75">
      <c r="A9" s="36" t="s">
        <v>174</v>
      </c>
      <c r="C9" s="82" t="s">
        <v>98</v>
      </c>
      <c r="D9" s="82"/>
      <c r="E9" s="82"/>
      <c r="F9" s="82"/>
      <c r="G9" s="83" t="s">
        <v>174</v>
      </c>
      <c r="H9" s="85"/>
      <c r="I9" s="84" t="s">
        <v>98</v>
      </c>
      <c r="J9" s="84"/>
      <c r="K9" s="84"/>
      <c r="L9" s="84"/>
      <c r="M9" s="83"/>
      <c r="N9" s="85"/>
      <c r="O9" s="85"/>
      <c r="P9" s="85"/>
      <c r="Q9" s="85"/>
      <c r="R9" s="86"/>
      <c r="S9" s="85"/>
      <c r="T9" s="85"/>
      <c r="U9" s="85"/>
      <c r="V9" s="85"/>
      <c r="W9" s="85"/>
      <c r="X9" s="86"/>
    </row>
    <row r="10" spans="1:24" ht="12.75">
      <c r="A10" s="36" t="s">
        <v>19</v>
      </c>
      <c r="C10" s="94" t="s">
        <v>29</v>
      </c>
      <c r="D10" s="94"/>
      <c r="E10" s="94"/>
      <c r="F10" s="94"/>
      <c r="G10" s="91" t="s">
        <v>40</v>
      </c>
      <c r="H10" s="92"/>
      <c r="I10" s="92" t="s">
        <v>42</v>
      </c>
      <c r="J10" s="92"/>
      <c r="K10" s="92"/>
      <c r="L10" s="92"/>
      <c r="M10" s="83" t="s">
        <v>25</v>
      </c>
      <c r="N10" s="85"/>
      <c r="O10" s="92" t="s">
        <v>43</v>
      </c>
      <c r="P10" s="92"/>
      <c r="Q10" s="92"/>
      <c r="R10" s="93"/>
      <c r="S10" s="85" t="s">
        <v>25</v>
      </c>
      <c r="T10" s="85"/>
      <c r="U10" s="92" t="s">
        <v>43</v>
      </c>
      <c r="V10" s="92"/>
      <c r="W10" s="92"/>
      <c r="X10" s="93"/>
    </row>
    <row r="11" spans="1:24" ht="12.75">
      <c r="A11" s="36" t="s">
        <v>20</v>
      </c>
      <c r="C11" s="94" t="s">
        <v>29</v>
      </c>
      <c r="D11" s="94"/>
      <c r="E11" s="94"/>
      <c r="F11" s="94"/>
      <c r="G11" s="83" t="s">
        <v>56</v>
      </c>
      <c r="H11" s="85"/>
      <c r="I11" s="95" t="s">
        <v>29</v>
      </c>
      <c r="J11" s="95"/>
      <c r="K11" s="95"/>
      <c r="L11" s="95"/>
      <c r="M11" s="91" t="s">
        <v>51</v>
      </c>
      <c r="N11" s="92"/>
      <c r="O11" s="92" t="s">
        <v>43</v>
      </c>
      <c r="P11" s="92"/>
      <c r="Q11" s="92"/>
      <c r="R11" s="93"/>
      <c r="S11" s="92" t="s">
        <v>51</v>
      </c>
      <c r="T11" s="92"/>
      <c r="U11" s="92" t="s">
        <v>43</v>
      </c>
      <c r="V11" s="92"/>
      <c r="W11" s="92"/>
      <c r="X11" s="93"/>
    </row>
    <row r="12" spans="1:24" ht="12.75">
      <c r="A12" s="36" t="s">
        <v>21</v>
      </c>
      <c r="C12" s="82" t="s">
        <v>27</v>
      </c>
      <c r="D12" s="82"/>
      <c r="E12" s="82"/>
      <c r="F12" s="82"/>
      <c r="G12" s="83" t="s">
        <v>51</v>
      </c>
      <c r="H12" s="85"/>
      <c r="I12" s="92" t="s">
        <v>29</v>
      </c>
      <c r="J12" s="92"/>
      <c r="K12" s="92"/>
      <c r="L12" s="92"/>
      <c r="M12" s="91" t="s">
        <v>58</v>
      </c>
      <c r="N12" s="92"/>
      <c r="O12" s="92" t="s">
        <v>125</v>
      </c>
      <c r="P12" s="92"/>
      <c r="Q12" s="92"/>
      <c r="R12" s="93"/>
      <c r="S12" s="92" t="s">
        <v>76</v>
      </c>
      <c r="T12" s="92"/>
      <c r="U12" s="92" t="s">
        <v>125</v>
      </c>
      <c r="V12" s="92"/>
      <c r="W12" s="92"/>
      <c r="X12" s="93"/>
    </row>
    <row r="13" spans="1:24" ht="12.75">
      <c r="A13" s="36" t="s">
        <v>22</v>
      </c>
      <c r="C13" s="82" t="s">
        <v>27</v>
      </c>
      <c r="D13" s="82"/>
      <c r="E13" s="82"/>
      <c r="F13" s="82"/>
      <c r="G13" s="83" t="s">
        <v>21</v>
      </c>
      <c r="H13" s="85"/>
      <c r="I13" s="92" t="s">
        <v>27</v>
      </c>
      <c r="J13" s="92"/>
      <c r="K13" s="92"/>
      <c r="L13" s="92"/>
      <c r="M13" s="91" t="s">
        <v>62</v>
      </c>
      <c r="N13" s="92"/>
      <c r="O13" s="92" t="s">
        <v>63</v>
      </c>
      <c r="P13" s="92"/>
      <c r="Q13" s="92"/>
      <c r="R13" s="93"/>
      <c r="S13" s="92" t="s">
        <v>71</v>
      </c>
      <c r="T13" s="92"/>
      <c r="U13" s="92" t="s">
        <v>115</v>
      </c>
      <c r="V13" s="92"/>
      <c r="W13" s="92"/>
      <c r="X13" s="93"/>
    </row>
    <row r="14" spans="1:24" ht="12.75">
      <c r="A14" s="82" t="s">
        <v>85</v>
      </c>
      <c r="C14" s="82" t="s">
        <v>160</v>
      </c>
      <c r="D14" s="82"/>
      <c r="E14" s="82"/>
      <c r="F14" s="82"/>
      <c r="G14" s="83" t="s">
        <v>22</v>
      </c>
      <c r="H14" s="85"/>
      <c r="I14" s="92" t="s">
        <v>27</v>
      </c>
      <c r="J14" s="92"/>
      <c r="K14" s="92"/>
      <c r="L14" s="92"/>
      <c r="M14" s="91" t="s">
        <v>60</v>
      </c>
      <c r="N14" s="92"/>
      <c r="O14" s="92" t="s">
        <v>61</v>
      </c>
      <c r="P14" s="92"/>
      <c r="Q14" s="92"/>
      <c r="R14" s="93"/>
      <c r="S14" s="92" t="s">
        <v>72</v>
      </c>
      <c r="T14" s="92"/>
      <c r="U14" s="92" t="s">
        <v>61</v>
      </c>
      <c r="V14" s="92"/>
      <c r="W14" s="92"/>
      <c r="X14" s="93"/>
    </row>
    <row r="15" spans="3:24" ht="12.75">
      <c r="C15" s="82"/>
      <c r="D15" s="82"/>
      <c r="E15" s="82"/>
      <c r="F15" s="82"/>
      <c r="G15" s="91" t="s">
        <v>100</v>
      </c>
      <c r="H15" s="85"/>
      <c r="I15" s="92" t="s">
        <v>43</v>
      </c>
      <c r="J15" s="92"/>
      <c r="K15" s="92"/>
      <c r="L15" s="92"/>
      <c r="M15" s="91" t="s">
        <v>65</v>
      </c>
      <c r="N15" s="92"/>
      <c r="O15" s="92" t="s">
        <v>66</v>
      </c>
      <c r="P15" s="92"/>
      <c r="Q15" s="92"/>
      <c r="R15" s="93"/>
      <c r="S15" s="92" t="s">
        <v>73</v>
      </c>
      <c r="T15" s="92"/>
      <c r="U15" s="92" t="s">
        <v>125</v>
      </c>
      <c r="V15" s="92"/>
      <c r="W15" s="92"/>
      <c r="X15" s="93"/>
    </row>
    <row r="16" spans="3:24" ht="12.75">
      <c r="C16" s="82"/>
      <c r="D16" s="82"/>
      <c r="E16" s="82"/>
      <c r="F16" s="82"/>
      <c r="G16" s="83" t="s">
        <v>41</v>
      </c>
      <c r="H16" s="85"/>
      <c r="I16" s="92" t="s">
        <v>27</v>
      </c>
      <c r="J16" s="92"/>
      <c r="K16" s="92"/>
      <c r="L16" s="92"/>
      <c r="M16" s="83"/>
      <c r="N16" s="85"/>
      <c r="O16" s="85"/>
      <c r="P16" s="85"/>
      <c r="Q16" s="85"/>
      <c r="R16" s="86"/>
      <c r="S16" s="92" t="s">
        <v>74</v>
      </c>
      <c r="T16" s="92"/>
      <c r="U16" s="92" t="s">
        <v>63</v>
      </c>
      <c r="V16" s="92"/>
      <c r="W16" s="92"/>
      <c r="X16" s="93"/>
    </row>
    <row r="17" spans="7:24" ht="12.75">
      <c r="G17" s="91" t="s">
        <v>90</v>
      </c>
      <c r="H17" s="85"/>
      <c r="I17" s="95" t="s">
        <v>95</v>
      </c>
      <c r="J17" s="85"/>
      <c r="K17" s="85"/>
      <c r="L17" s="85"/>
      <c r="M17" s="83"/>
      <c r="N17" s="85"/>
      <c r="O17" s="85"/>
      <c r="P17" s="85"/>
      <c r="Q17" s="85"/>
      <c r="R17" s="86"/>
      <c r="S17" s="92" t="s">
        <v>75</v>
      </c>
      <c r="T17" s="92"/>
      <c r="U17" s="92" t="s">
        <v>61</v>
      </c>
      <c r="V17" s="92"/>
      <c r="W17" s="92"/>
      <c r="X17" s="93"/>
    </row>
    <row r="18" spans="7:24" ht="12.75">
      <c r="G18" s="91" t="s">
        <v>91</v>
      </c>
      <c r="H18" s="85"/>
      <c r="I18" s="85"/>
      <c r="J18" s="85"/>
      <c r="K18" s="85"/>
      <c r="L18" s="85"/>
      <c r="M18" s="83"/>
      <c r="N18" s="85"/>
      <c r="O18" s="85"/>
      <c r="P18" s="85"/>
      <c r="Q18" s="85"/>
      <c r="R18" s="86"/>
      <c r="S18" s="92" t="s">
        <v>65</v>
      </c>
      <c r="T18" s="92"/>
      <c r="U18" s="92" t="s">
        <v>66</v>
      </c>
      <c r="V18" s="92"/>
      <c r="W18" s="92"/>
      <c r="X18" s="93"/>
    </row>
    <row r="19" spans="7:24" ht="12.75">
      <c r="G19" s="91" t="s">
        <v>102</v>
      </c>
      <c r="H19" s="85"/>
      <c r="I19" s="95" t="s">
        <v>103</v>
      </c>
      <c r="J19" s="85"/>
      <c r="K19" s="85"/>
      <c r="L19" s="85"/>
      <c r="M19" s="83"/>
      <c r="N19" s="85"/>
      <c r="O19" s="85"/>
      <c r="P19" s="85"/>
      <c r="Q19" s="85"/>
      <c r="R19" s="86"/>
      <c r="S19" s="85"/>
      <c r="T19" s="85"/>
      <c r="U19" s="85"/>
      <c r="V19" s="85"/>
      <c r="W19" s="85"/>
      <c r="X19" s="86"/>
    </row>
    <row r="20" spans="7:24" s="85" customFormat="1" ht="12.75">
      <c r="G20" s="82" t="s">
        <v>85</v>
      </c>
      <c r="H20" s="36"/>
      <c r="I20" s="82" t="s">
        <v>160</v>
      </c>
      <c r="M20" s="83"/>
      <c r="R20" s="86"/>
      <c r="X20" s="86"/>
    </row>
    <row r="21" spans="7:24" s="85" customFormat="1" ht="12.75">
      <c r="G21" s="83"/>
      <c r="M21" s="83"/>
      <c r="R21" s="86"/>
      <c r="X21" s="86"/>
    </row>
    <row r="22" spans="2:24" s="85" customFormat="1" ht="12.75" hidden="1">
      <c r="B22" s="92"/>
      <c r="C22" s="38"/>
      <c r="D22" s="38"/>
      <c r="E22" s="38"/>
      <c r="F22" s="38"/>
      <c r="G22" s="83"/>
      <c r="M22" s="83"/>
      <c r="R22" s="86"/>
      <c r="X22" s="86"/>
    </row>
    <row r="23" spans="1:24" s="85" customFormat="1" ht="12.75" hidden="1">
      <c r="A23" s="38"/>
      <c r="B23" s="38"/>
      <c r="G23" s="83"/>
      <c r="M23" s="83"/>
      <c r="R23" s="86"/>
      <c r="X23" s="86"/>
    </row>
    <row r="24" spans="7:24" s="85" customFormat="1" ht="12.75" hidden="1">
      <c r="G24" s="83"/>
      <c r="M24" s="83"/>
      <c r="R24" s="86"/>
      <c r="X24" s="86"/>
    </row>
    <row r="25" spans="7:24" s="85" customFormat="1" ht="12.75" hidden="1">
      <c r="G25" s="83"/>
      <c r="M25" s="83"/>
      <c r="R25" s="86"/>
      <c r="X25" s="86"/>
    </row>
    <row r="26" spans="7:24" s="96" customFormat="1" ht="13.5" thickBot="1">
      <c r="G26" s="97"/>
      <c r="M26" s="97"/>
      <c r="R26" s="98"/>
      <c r="X26" s="98"/>
    </row>
    <row r="27" spans="1:25" ht="13.5" thickTop="1">
      <c r="A27" s="37">
        <v>407</v>
      </c>
      <c r="B27" s="82" t="s">
        <v>11</v>
      </c>
      <c r="C27" s="38" t="s">
        <v>83</v>
      </c>
      <c r="D27" s="38"/>
      <c r="E27" s="38"/>
      <c r="F27" s="31">
        <v>2.1</v>
      </c>
      <c r="G27" s="99">
        <v>202</v>
      </c>
      <c r="H27" s="100" t="s">
        <v>15</v>
      </c>
      <c r="I27" s="101" t="s">
        <v>92</v>
      </c>
      <c r="J27" s="101"/>
      <c r="K27" s="101"/>
      <c r="L27" s="33">
        <v>250</v>
      </c>
      <c r="M27" s="85">
        <v>409</v>
      </c>
      <c r="N27" s="92" t="s">
        <v>11</v>
      </c>
      <c r="O27" s="38" t="s">
        <v>110</v>
      </c>
      <c r="P27" s="38" t="s">
        <v>105</v>
      </c>
      <c r="Q27" s="38"/>
      <c r="R27" s="35">
        <v>2.3</v>
      </c>
      <c r="S27" s="85">
        <v>409</v>
      </c>
      <c r="T27" s="92" t="s">
        <v>11</v>
      </c>
      <c r="U27" s="38" t="s">
        <v>112</v>
      </c>
      <c r="V27" s="38" t="s">
        <v>105</v>
      </c>
      <c r="W27" s="38"/>
      <c r="X27" s="31">
        <v>2.3</v>
      </c>
      <c r="Y27" s="38"/>
    </row>
    <row r="28" spans="1:25" ht="38.25">
      <c r="A28" s="50">
        <v>823</v>
      </c>
      <c r="B28" s="102" t="s">
        <v>12</v>
      </c>
      <c r="C28" s="58" t="s">
        <v>158</v>
      </c>
      <c r="D28" s="58" t="s">
        <v>87</v>
      </c>
      <c r="E28" s="58"/>
      <c r="F28" s="32">
        <v>150</v>
      </c>
      <c r="G28" s="103">
        <v>203</v>
      </c>
      <c r="H28" s="104" t="s">
        <v>93</v>
      </c>
      <c r="I28" s="58" t="s">
        <v>94</v>
      </c>
      <c r="J28" s="154" t="str">
        <f>"' Widening "</f>
        <v>' Widening </v>
      </c>
      <c r="K28" s="58" t="s">
        <v>97</v>
      </c>
      <c r="L28" s="34">
        <v>43</v>
      </c>
      <c r="M28" s="85">
        <v>409</v>
      </c>
      <c r="N28" s="92" t="s">
        <v>12</v>
      </c>
      <c r="O28" s="38" t="s">
        <v>108</v>
      </c>
      <c r="P28" s="38" t="s">
        <v>107</v>
      </c>
      <c r="Q28" s="38" t="s">
        <v>106</v>
      </c>
      <c r="R28" s="35">
        <v>30</v>
      </c>
      <c r="S28" s="85">
        <v>409</v>
      </c>
      <c r="T28" s="92" t="s">
        <v>12</v>
      </c>
      <c r="U28" s="38" t="s">
        <v>111</v>
      </c>
      <c r="V28" s="38" t="s">
        <v>107</v>
      </c>
      <c r="W28" s="38" t="s">
        <v>106</v>
      </c>
      <c r="X28" s="31">
        <v>30</v>
      </c>
      <c r="Y28" s="38"/>
    </row>
    <row r="29" spans="1:24" s="59" customFormat="1" ht="51">
      <c r="A29" s="50">
        <v>823</v>
      </c>
      <c r="B29" s="102" t="s">
        <v>12</v>
      </c>
      <c r="C29" s="58" t="s">
        <v>159</v>
      </c>
      <c r="D29" s="58" t="s">
        <v>87</v>
      </c>
      <c r="E29" s="58"/>
      <c r="F29" s="32">
        <v>150</v>
      </c>
      <c r="G29" s="103">
        <v>204</v>
      </c>
      <c r="H29" s="104" t="s">
        <v>98</v>
      </c>
      <c r="I29" s="58" t="s">
        <v>30</v>
      </c>
      <c r="J29" s="58"/>
      <c r="K29" s="58"/>
      <c r="L29" s="34">
        <v>1</v>
      </c>
      <c r="M29" s="58" t="s">
        <v>14</v>
      </c>
      <c r="N29" s="58" t="s">
        <v>11</v>
      </c>
      <c r="O29" s="38" t="s">
        <v>109</v>
      </c>
      <c r="P29" s="58"/>
      <c r="Q29" s="58"/>
      <c r="R29" s="34">
        <v>3</v>
      </c>
      <c r="S29" s="85">
        <v>409</v>
      </c>
      <c r="T29" s="92" t="s">
        <v>11</v>
      </c>
      <c r="U29" s="38" t="s">
        <v>113</v>
      </c>
      <c r="V29" s="38" t="s">
        <v>105</v>
      </c>
      <c r="W29" s="38"/>
      <c r="X29" s="31">
        <v>2.3</v>
      </c>
    </row>
    <row r="30" spans="1:24" s="59" customFormat="1" ht="38.25">
      <c r="A30" s="50">
        <v>407</v>
      </c>
      <c r="B30" s="104" t="s">
        <v>11</v>
      </c>
      <c r="C30" s="58" t="s">
        <v>131</v>
      </c>
      <c r="D30" s="58"/>
      <c r="E30" s="58"/>
      <c r="F30" s="32">
        <v>3.5</v>
      </c>
      <c r="G30" s="103">
        <v>301</v>
      </c>
      <c r="H30" s="104" t="s">
        <v>93</v>
      </c>
      <c r="I30" s="105" t="s">
        <v>99</v>
      </c>
      <c r="J30" s="58" t="s">
        <v>104</v>
      </c>
      <c r="K30" s="58"/>
      <c r="L30" s="34">
        <v>145</v>
      </c>
      <c r="M30" s="50">
        <v>617</v>
      </c>
      <c r="N30" s="106" t="s">
        <v>93</v>
      </c>
      <c r="O30" s="38" t="s">
        <v>84</v>
      </c>
      <c r="P30" s="107" t="s">
        <v>87</v>
      </c>
      <c r="Q30" s="58"/>
      <c r="R30" s="34">
        <v>55</v>
      </c>
      <c r="S30" s="85">
        <v>409</v>
      </c>
      <c r="T30" s="92" t="s">
        <v>12</v>
      </c>
      <c r="U30" s="38" t="s">
        <v>114</v>
      </c>
      <c r="V30" s="38" t="s">
        <v>107</v>
      </c>
      <c r="W30" s="38" t="s">
        <v>106</v>
      </c>
      <c r="X30" s="31">
        <v>30</v>
      </c>
    </row>
    <row r="31" spans="1:24" ht="38.25">
      <c r="A31" s="50">
        <v>424</v>
      </c>
      <c r="B31" s="102" t="s">
        <v>12</v>
      </c>
      <c r="C31" s="58" t="s">
        <v>130</v>
      </c>
      <c r="D31" s="58" t="s">
        <v>87</v>
      </c>
      <c r="E31" s="58"/>
      <c r="F31" s="32">
        <v>210</v>
      </c>
      <c r="G31" s="108">
        <v>407</v>
      </c>
      <c r="H31" s="92" t="s">
        <v>11</v>
      </c>
      <c r="I31" s="38" t="s">
        <v>83</v>
      </c>
      <c r="J31" s="85"/>
      <c r="K31" s="85"/>
      <c r="L31" s="111">
        <v>2.1</v>
      </c>
      <c r="M31" s="50">
        <v>614</v>
      </c>
      <c r="N31" s="50" t="s">
        <v>7</v>
      </c>
      <c r="O31" s="38" t="s">
        <v>8</v>
      </c>
      <c r="P31" s="38"/>
      <c r="Q31" s="38"/>
      <c r="R31" s="35">
        <v>400</v>
      </c>
      <c r="S31" s="58" t="s">
        <v>14</v>
      </c>
      <c r="T31" s="58" t="s">
        <v>11</v>
      </c>
      <c r="U31" s="38" t="s">
        <v>109</v>
      </c>
      <c r="V31" s="58"/>
      <c r="W31" s="58"/>
      <c r="X31" s="111">
        <v>3</v>
      </c>
    </row>
    <row r="32" spans="1:24" ht="38.25">
      <c r="A32" s="50">
        <v>617</v>
      </c>
      <c r="B32" s="102" t="s">
        <v>12</v>
      </c>
      <c r="C32" s="58" t="s">
        <v>84</v>
      </c>
      <c r="D32" s="58" t="s">
        <v>87</v>
      </c>
      <c r="E32" s="58"/>
      <c r="F32" s="32">
        <v>58</v>
      </c>
      <c r="G32" s="103">
        <v>441</v>
      </c>
      <c r="H32" s="104" t="s">
        <v>12</v>
      </c>
      <c r="I32" s="58" t="s">
        <v>158</v>
      </c>
      <c r="J32" s="58" t="s">
        <v>87</v>
      </c>
      <c r="K32" s="58"/>
      <c r="L32" s="34">
        <v>150</v>
      </c>
      <c r="M32" s="50">
        <v>624</v>
      </c>
      <c r="N32" s="50" t="s">
        <v>7</v>
      </c>
      <c r="O32" s="38" t="s">
        <v>9</v>
      </c>
      <c r="P32" s="85"/>
      <c r="Q32" s="85"/>
      <c r="R32" s="111">
        <v>500</v>
      </c>
      <c r="S32" s="50">
        <v>617</v>
      </c>
      <c r="T32" s="106" t="s">
        <v>93</v>
      </c>
      <c r="U32" s="38" t="s">
        <v>84</v>
      </c>
      <c r="V32" s="107" t="s">
        <v>87</v>
      </c>
      <c r="W32" s="107"/>
      <c r="X32" s="111">
        <v>55</v>
      </c>
    </row>
    <row r="33" spans="1:24" ht="38.25">
      <c r="A33" s="50">
        <v>254</v>
      </c>
      <c r="B33" s="82" t="s">
        <v>161</v>
      </c>
      <c r="C33" s="38" t="s">
        <v>174</v>
      </c>
      <c r="D33" s="38" t="s">
        <v>162</v>
      </c>
      <c r="E33" s="38"/>
      <c r="F33" s="31">
        <v>15</v>
      </c>
      <c r="G33" s="103">
        <v>441</v>
      </c>
      <c r="H33" s="104" t="s">
        <v>12</v>
      </c>
      <c r="I33" s="58" t="s">
        <v>159</v>
      </c>
      <c r="J33" s="58" t="s">
        <v>87</v>
      </c>
      <c r="K33" s="58"/>
      <c r="L33" s="34">
        <v>150</v>
      </c>
      <c r="M33" s="50">
        <v>103.05</v>
      </c>
      <c r="N33" s="50" t="s">
        <v>7</v>
      </c>
      <c r="O33" s="38" t="s">
        <v>10</v>
      </c>
      <c r="P33" s="85"/>
      <c r="Q33" s="85"/>
      <c r="R33" s="111">
        <v>300</v>
      </c>
      <c r="S33" s="50">
        <v>614</v>
      </c>
      <c r="T33" s="50" t="s">
        <v>7</v>
      </c>
      <c r="U33" s="38" t="s">
        <v>8</v>
      </c>
      <c r="V33" s="38"/>
      <c r="W33" s="38"/>
      <c r="X33" s="111">
        <v>600</v>
      </c>
    </row>
    <row r="34" spans="1:24" ht="12.75">
      <c r="A34" s="50">
        <v>614</v>
      </c>
      <c r="B34" s="50" t="s">
        <v>7</v>
      </c>
      <c r="C34" s="38" t="s">
        <v>8</v>
      </c>
      <c r="F34" s="30">
        <v>2000</v>
      </c>
      <c r="G34" s="50">
        <v>407</v>
      </c>
      <c r="H34" s="104" t="s">
        <v>11</v>
      </c>
      <c r="I34" s="58" t="s">
        <v>131</v>
      </c>
      <c r="J34" s="58"/>
      <c r="K34" s="58"/>
      <c r="L34" s="32">
        <v>3.5</v>
      </c>
      <c r="M34" s="57"/>
      <c r="N34" s="85"/>
      <c r="O34" s="85"/>
      <c r="P34" s="85"/>
      <c r="Q34" s="85"/>
      <c r="R34" s="111"/>
      <c r="S34" s="50">
        <v>624</v>
      </c>
      <c r="T34" s="50" t="s">
        <v>7</v>
      </c>
      <c r="U34" s="38" t="s">
        <v>9</v>
      </c>
      <c r="V34" s="85"/>
      <c r="W34" s="85"/>
      <c r="X34" s="111">
        <v>700</v>
      </c>
    </row>
    <row r="35" spans="1:24" ht="25.5">
      <c r="A35" s="50">
        <v>624</v>
      </c>
      <c r="B35" s="50" t="s">
        <v>7</v>
      </c>
      <c r="C35" s="38" t="s">
        <v>9</v>
      </c>
      <c r="F35" s="30">
        <v>3000</v>
      </c>
      <c r="G35" s="50">
        <v>424</v>
      </c>
      <c r="H35" s="102" t="s">
        <v>12</v>
      </c>
      <c r="I35" s="58" t="s">
        <v>130</v>
      </c>
      <c r="J35" s="58" t="s">
        <v>87</v>
      </c>
      <c r="K35" s="58"/>
      <c r="L35" s="32">
        <v>225</v>
      </c>
      <c r="M35" s="85"/>
      <c r="N35" s="85"/>
      <c r="O35" s="85"/>
      <c r="P35" s="85"/>
      <c r="Q35" s="85"/>
      <c r="R35" s="111"/>
      <c r="S35" s="50">
        <v>103.05</v>
      </c>
      <c r="T35" s="50" t="s">
        <v>7</v>
      </c>
      <c r="U35" s="38" t="s">
        <v>10</v>
      </c>
      <c r="V35" s="85"/>
      <c r="W35" s="85"/>
      <c r="X35" s="111">
        <v>400</v>
      </c>
    </row>
    <row r="36" spans="1:24" ht="25.5">
      <c r="A36" s="50">
        <v>103.05</v>
      </c>
      <c r="B36" s="50" t="s">
        <v>7</v>
      </c>
      <c r="C36" s="38" t="s">
        <v>10</v>
      </c>
      <c r="F36" s="30">
        <v>1000</v>
      </c>
      <c r="G36" s="103">
        <v>617</v>
      </c>
      <c r="H36" s="106" t="s">
        <v>93</v>
      </c>
      <c r="I36" s="58" t="s">
        <v>84</v>
      </c>
      <c r="J36" s="58" t="s">
        <v>87</v>
      </c>
      <c r="K36" s="58"/>
      <c r="L36" s="34">
        <v>60</v>
      </c>
      <c r="M36" s="85"/>
      <c r="N36" s="85"/>
      <c r="O36" s="85"/>
      <c r="P36" s="85"/>
      <c r="Q36" s="85"/>
      <c r="R36" s="112"/>
      <c r="S36" s="85"/>
      <c r="T36" s="85"/>
      <c r="U36" s="85"/>
      <c r="V36" s="85"/>
      <c r="W36" s="85"/>
      <c r="X36" s="111"/>
    </row>
    <row r="37" spans="6:24" ht="12.75">
      <c r="F37" s="30"/>
      <c r="G37" s="103">
        <v>254</v>
      </c>
      <c r="H37" s="92" t="s">
        <v>161</v>
      </c>
      <c r="I37" s="38" t="s">
        <v>176</v>
      </c>
      <c r="J37" s="38" t="s">
        <v>175</v>
      </c>
      <c r="K37" s="38"/>
      <c r="L37" s="35">
        <v>1000</v>
      </c>
      <c r="M37" s="85"/>
      <c r="N37" s="85"/>
      <c r="O37" s="85"/>
      <c r="P37" s="85"/>
      <c r="Q37" s="85"/>
      <c r="R37" s="112"/>
      <c r="S37" s="85"/>
      <c r="T37" s="85"/>
      <c r="U37" s="85"/>
      <c r="V37" s="85"/>
      <c r="W37" s="85"/>
      <c r="X37" s="111"/>
    </row>
    <row r="38" spans="6:24" ht="12.75">
      <c r="F38" s="30"/>
      <c r="G38" s="103">
        <v>614</v>
      </c>
      <c r="H38" s="50" t="s">
        <v>7</v>
      </c>
      <c r="I38" s="38" t="s">
        <v>8</v>
      </c>
      <c r="J38" s="85"/>
      <c r="K38" s="85"/>
      <c r="L38" s="111">
        <v>2000</v>
      </c>
      <c r="M38" s="85"/>
      <c r="N38" s="85"/>
      <c r="O38" s="85"/>
      <c r="P38" s="85"/>
      <c r="Q38" s="85"/>
      <c r="R38" s="112"/>
      <c r="S38" s="85"/>
      <c r="T38" s="85"/>
      <c r="U38" s="85"/>
      <c r="V38" s="85"/>
      <c r="W38" s="85"/>
      <c r="X38" s="111"/>
    </row>
    <row r="39" spans="6:24" ht="12.75">
      <c r="F39" s="30"/>
      <c r="G39" s="103">
        <v>624</v>
      </c>
      <c r="H39" s="50" t="s">
        <v>7</v>
      </c>
      <c r="I39" s="38" t="s">
        <v>9</v>
      </c>
      <c r="J39" s="85"/>
      <c r="K39" s="85"/>
      <c r="L39" s="111">
        <v>4000</v>
      </c>
      <c r="M39" s="85"/>
      <c r="N39" s="85"/>
      <c r="O39" s="85"/>
      <c r="P39" s="85"/>
      <c r="Q39" s="85"/>
      <c r="R39" s="112"/>
      <c r="S39" s="85"/>
      <c r="T39" s="85"/>
      <c r="U39" s="85"/>
      <c r="V39" s="85"/>
      <c r="W39" s="85"/>
      <c r="X39" s="111"/>
    </row>
    <row r="40" spans="6:24" ht="12.75">
      <c r="F40" s="30"/>
      <c r="G40" s="103">
        <v>103.05</v>
      </c>
      <c r="H40" s="50" t="s">
        <v>7</v>
      </c>
      <c r="I40" s="38" t="s">
        <v>10</v>
      </c>
      <c r="J40" s="85"/>
      <c r="K40" s="85"/>
      <c r="L40" s="111">
        <v>1000</v>
      </c>
      <c r="M40" s="85"/>
      <c r="N40" s="85"/>
      <c r="O40" s="85"/>
      <c r="P40" s="85"/>
      <c r="Q40" s="85"/>
      <c r="R40" s="86"/>
      <c r="S40" s="85"/>
      <c r="T40" s="85"/>
      <c r="U40" s="85"/>
      <c r="V40" s="85"/>
      <c r="W40" s="85"/>
      <c r="X40" s="109"/>
    </row>
    <row r="41" spans="6:24" ht="12.75">
      <c r="F41" s="5"/>
      <c r="G41" s="83"/>
      <c r="H41" s="85"/>
      <c r="I41" s="85"/>
      <c r="J41" s="85"/>
      <c r="K41" s="85"/>
      <c r="L41" s="111"/>
      <c r="X41" s="110"/>
    </row>
    <row r="42" spans="6:12" ht="12.75">
      <c r="F42" s="5"/>
      <c r="G42" s="83"/>
      <c r="H42" s="85"/>
      <c r="I42" s="85"/>
      <c r="J42" s="85"/>
      <c r="K42" s="85"/>
      <c r="L42" s="111"/>
    </row>
    <row r="43" spans="6:12" ht="12.75">
      <c r="F43" s="5"/>
      <c r="G43" s="83"/>
      <c r="H43" s="85"/>
      <c r="I43" s="85"/>
      <c r="J43" s="85"/>
      <c r="K43" s="85"/>
      <c r="L43" s="111"/>
    </row>
    <row r="44" spans="7:12" ht="12.75">
      <c r="G44" s="83"/>
      <c r="H44" s="85"/>
      <c r="I44" s="85"/>
      <c r="J44" s="85"/>
      <c r="K44" s="85"/>
      <c r="L44" s="111"/>
    </row>
    <row r="45" spans="7:12" ht="12.75">
      <c r="G45" s="83"/>
      <c r="H45" s="85"/>
      <c r="I45" s="85"/>
      <c r="J45" s="85"/>
      <c r="K45" s="85"/>
      <c r="L45" s="86"/>
    </row>
    <row r="46" spans="7:12" ht="12.75">
      <c r="G46" s="83"/>
      <c r="H46" s="85"/>
      <c r="I46" s="85"/>
      <c r="J46" s="85"/>
      <c r="K46" s="85"/>
      <c r="L46" s="86"/>
    </row>
    <row r="47" spans="7:12" ht="12.75">
      <c r="G47" s="83"/>
      <c r="H47" s="85"/>
      <c r="I47" s="85"/>
      <c r="J47" s="85"/>
      <c r="K47" s="85"/>
      <c r="L47" s="86"/>
    </row>
    <row r="48" ht="12.75">
      <c r="L48" s="86"/>
    </row>
    <row r="49" ht="12.75">
      <c r="L49" s="86"/>
    </row>
    <row r="50" ht="12.75">
      <c r="L50" s="86"/>
    </row>
    <row r="51" ht="12.75">
      <c r="L51" s="86"/>
    </row>
    <row r="52" ht="12.75">
      <c r="I52" s="155" t="s">
        <v>157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Rettig</dc:creator>
  <cp:keywords/>
  <dc:description/>
  <cp:lastModifiedBy>Katrina Meyer</cp:lastModifiedBy>
  <cp:lastPrinted>2022-02-07T15:28:01Z</cp:lastPrinted>
  <dcterms:created xsi:type="dcterms:W3CDTF">2008-03-20T16:15:56Z</dcterms:created>
  <dcterms:modified xsi:type="dcterms:W3CDTF">2022-02-08T18:15:28Z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-203696984</vt:i4>
  </property>
  <property fmtid="{D5CDD505-2E9C-101B-9397-08002B2CF9AE}" pid="3" name="_NewReviewCycle">
    <vt:lpwstr/>
  </property>
  <property fmtid="{D5CDD505-2E9C-101B-9397-08002B2CF9AE}" pid="4" name="_EmailSubject">
    <vt:lpwstr>2008 Pleasant Twp Road Improvements</vt:lpwstr>
  </property>
  <property fmtid="{D5CDD505-2E9C-101B-9397-08002B2CF9AE}" pid="5" name="_AuthorEmail">
    <vt:lpwstr>pmccolley@henrycountyengineer.com</vt:lpwstr>
  </property>
  <property fmtid="{D5CDD505-2E9C-101B-9397-08002B2CF9AE}" pid="6" name="_AuthorEmailDisplayName">
    <vt:lpwstr>Patrick McColley</vt:lpwstr>
  </property>
  <property fmtid="{D5CDD505-2E9C-101B-9397-08002B2CF9AE}" pid="7" name="_ReviewingToolsShownOnce">
    <vt:lpwstr/>
  </property>
</Properties>
</file>